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charl\Documents\Travail\FFCO\Formation\POLE TECHNIQUE\Traceur national\FORMATION TRACEUR NATIONAL 2024\COURS\"/>
    </mc:Choice>
  </mc:AlternateContent>
  <xr:revisionPtr revIDLastSave="0" documentId="13_ncr:1_{4D09A628-BEC0-4788-BD08-1E377D57C536}" xr6:coauthVersionLast="47" xr6:coauthVersionMax="47" xr10:uidLastSave="{00000000-0000-0000-0000-000000000000}"/>
  <bookViews>
    <workbookView xWindow="-108" yWindow="-108" windowWidth="27096" windowHeight="16296" activeTab="4" xr2:uid="{00000000-000D-0000-FFFF-FFFF00000000}"/>
  </bookViews>
  <sheets>
    <sheet name="(vierge)" sheetId="5" r:id="rId1"/>
    <sheet name="2022" sheetId="3" r:id="rId2"/>
    <sheet name="2023" sheetId="2" r:id="rId3"/>
    <sheet name="2024" sheetId="4" r:id="rId4"/>
    <sheet name="2025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6" l="1"/>
  <c r="K25" i="6"/>
  <c r="L25" i="6"/>
  <c r="J26" i="6"/>
  <c r="K26" i="6"/>
  <c r="L26" i="6"/>
  <c r="J9" i="6"/>
  <c r="J7" i="6"/>
  <c r="K7" i="6"/>
  <c r="J23" i="6"/>
  <c r="D23" i="6"/>
  <c r="J16" i="6"/>
  <c r="P16" i="6"/>
  <c r="D16" i="6"/>
  <c r="E18" i="6" s="1"/>
  <c r="P4" i="6"/>
  <c r="J4" i="6"/>
  <c r="D4" i="6"/>
  <c r="V25" i="6"/>
  <c r="V27" i="6" s="1"/>
  <c r="E25" i="6"/>
  <c r="D25" i="6"/>
  <c r="K24" i="6"/>
  <c r="I23" i="6"/>
  <c r="J24" i="6" s="1"/>
  <c r="E24" i="6"/>
  <c r="C23" i="6"/>
  <c r="D24" i="6" s="1"/>
  <c r="Q19" i="6"/>
  <c r="P19" i="6"/>
  <c r="D19" i="6"/>
  <c r="D18" i="6"/>
  <c r="V17" i="6"/>
  <c r="V18" i="6" s="1"/>
  <c r="D17" i="6"/>
  <c r="Q17" i="6"/>
  <c r="O16" i="6"/>
  <c r="P17" i="6" s="1"/>
  <c r="K19" i="6"/>
  <c r="I16" i="6"/>
  <c r="J19" i="6" s="1"/>
  <c r="E16" i="6"/>
  <c r="E19" i="6"/>
  <c r="C16" i="6"/>
  <c r="K12" i="6"/>
  <c r="I9" i="6"/>
  <c r="K9" i="6" s="1"/>
  <c r="E7" i="6"/>
  <c r="D7" i="6"/>
  <c r="V6" i="6"/>
  <c r="V8" i="6" s="1"/>
  <c r="K6" i="6"/>
  <c r="J6" i="6"/>
  <c r="D6" i="6"/>
  <c r="J5" i="6"/>
  <c r="E5" i="6"/>
  <c r="D5" i="6"/>
  <c r="Q7" i="6"/>
  <c r="O4" i="6"/>
  <c r="P6" i="6" s="1"/>
  <c r="K4" i="6"/>
  <c r="I4" i="6"/>
  <c r="E4" i="6"/>
  <c r="E6" i="6"/>
  <c r="C4" i="6"/>
  <c r="V7" i="6" l="1"/>
  <c r="V19" i="6"/>
  <c r="P18" i="6"/>
  <c r="E23" i="6"/>
  <c r="K5" i="6"/>
  <c r="J11" i="6"/>
  <c r="E17" i="6"/>
  <c r="Q18" i="6"/>
  <c r="D26" i="6"/>
  <c r="K16" i="6"/>
  <c r="J10" i="6"/>
  <c r="K10" i="6"/>
  <c r="K11" i="6"/>
  <c r="E26" i="6"/>
  <c r="K18" i="6"/>
  <c r="P5" i="6"/>
  <c r="J17" i="6"/>
  <c r="K23" i="6"/>
  <c r="J18" i="6"/>
  <c r="Q5" i="6"/>
  <c r="J12" i="6"/>
  <c r="K17" i="6"/>
  <c r="Q4" i="6"/>
  <c r="Q16" i="6"/>
  <c r="Q6" i="6"/>
  <c r="P7" i="6"/>
  <c r="V26" i="6"/>
  <c r="P16" i="5"/>
  <c r="J16" i="5"/>
  <c r="J23" i="5"/>
  <c r="D23" i="5"/>
  <c r="D16" i="5"/>
  <c r="E18" i="5" s="1"/>
  <c r="J9" i="5"/>
  <c r="P4" i="5"/>
  <c r="J4" i="5"/>
  <c r="D4" i="5"/>
  <c r="V25" i="5"/>
  <c r="V27" i="5" s="1"/>
  <c r="K25" i="5"/>
  <c r="J25" i="5"/>
  <c r="E25" i="5"/>
  <c r="D25" i="5"/>
  <c r="K24" i="5"/>
  <c r="I23" i="5"/>
  <c r="K23" i="5" s="1"/>
  <c r="E24" i="5"/>
  <c r="C23" i="5"/>
  <c r="E23" i="5" s="1"/>
  <c r="Q19" i="5"/>
  <c r="P19" i="5"/>
  <c r="D19" i="5"/>
  <c r="D18" i="5"/>
  <c r="V17" i="5"/>
  <c r="V19" i="5" s="1"/>
  <c r="E17" i="5"/>
  <c r="D17" i="5"/>
  <c r="Q17" i="5"/>
  <c r="O16" i="5"/>
  <c r="P17" i="5" s="1"/>
  <c r="K19" i="5"/>
  <c r="I16" i="5"/>
  <c r="J19" i="5" s="1"/>
  <c r="E16" i="5"/>
  <c r="E19" i="5"/>
  <c r="C16" i="5"/>
  <c r="K11" i="5"/>
  <c r="I9" i="5"/>
  <c r="J10" i="5" s="1"/>
  <c r="K7" i="5"/>
  <c r="J7" i="5"/>
  <c r="E7" i="5"/>
  <c r="D7" i="5"/>
  <c r="V6" i="5"/>
  <c r="V8" i="5" s="1"/>
  <c r="K6" i="5"/>
  <c r="J6" i="5"/>
  <c r="K5" i="5"/>
  <c r="J5" i="5"/>
  <c r="E5" i="5"/>
  <c r="D5" i="5"/>
  <c r="Q7" i="5"/>
  <c r="O4" i="5"/>
  <c r="P7" i="5" s="1"/>
  <c r="K4" i="5"/>
  <c r="I4" i="5"/>
  <c r="E6" i="5"/>
  <c r="C4" i="5"/>
  <c r="D6" i="5" s="1"/>
  <c r="F24" i="6" l="1"/>
  <c r="L7" i="6"/>
  <c r="R17" i="6"/>
  <c r="F25" i="6"/>
  <c r="L18" i="6"/>
  <c r="F5" i="6"/>
  <c r="F26" i="6"/>
  <c r="F19" i="6"/>
  <c r="L11" i="6"/>
  <c r="L12" i="6"/>
  <c r="L24" i="6"/>
  <c r="R7" i="6"/>
  <c r="R6" i="6"/>
  <c r="F17" i="6"/>
  <c r="L10" i="6"/>
  <c r="F7" i="6"/>
  <c r="R19" i="6"/>
  <c r="L5" i="6"/>
  <c r="F6" i="6"/>
  <c r="L19" i="6"/>
  <c r="R18" i="6"/>
  <c r="L17" i="6"/>
  <c r="R5" i="6"/>
  <c r="L6" i="6"/>
  <c r="F18" i="6"/>
  <c r="V7" i="5"/>
  <c r="J18" i="5"/>
  <c r="D26" i="5"/>
  <c r="E26" i="5"/>
  <c r="K9" i="5"/>
  <c r="J11" i="5"/>
  <c r="P6" i="5"/>
  <c r="Q16" i="5"/>
  <c r="P18" i="5"/>
  <c r="P5" i="5"/>
  <c r="J12" i="5"/>
  <c r="K17" i="5"/>
  <c r="D24" i="5"/>
  <c r="J26" i="5"/>
  <c r="Q4" i="5"/>
  <c r="Q6" i="5"/>
  <c r="K10" i="5"/>
  <c r="L10" i="5" s="1"/>
  <c r="Q18" i="5"/>
  <c r="V18" i="5"/>
  <c r="Q5" i="5"/>
  <c r="K12" i="5"/>
  <c r="K26" i="5"/>
  <c r="K16" i="5"/>
  <c r="E4" i="5"/>
  <c r="K18" i="5"/>
  <c r="J17" i="5"/>
  <c r="J24" i="5"/>
  <c r="V26" i="5"/>
  <c r="R18" i="5" l="1"/>
  <c r="F25" i="5"/>
  <c r="F7" i="5"/>
  <c r="L6" i="5"/>
  <c r="F6" i="5"/>
  <c r="L5" i="5"/>
  <c r="L17" i="5"/>
  <c r="R19" i="5"/>
  <c r="F5" i="5"/>
  <c r="L25" i="5"/>
  <c r="L24" i="5"/>
  <c r="R7" i="5"/>
  <c r="F24" i="5"/>
  <c r="L18" i="5"/>
  <c r="L26" i="5"/>
  <c r="L11" i="5"/>
  <c r="L12" i="5"/>
  <c r="F18" i="5"/>
  <c r="R5" i="5"/>
  <c r="F26" i="5"/>
  <c r="F17" i="5"/>
  <c r="R17" i="5"/>
  <c r="F19" i="5"/>
  <c r="R6" i="5"/>
  <c r="L19" i="5"/>
  <c r="L7" i="5"/>
  <c r="J23" i="4" l="1"/>
  <c r="D23" i="4"/>
  <c r="J16" i="4"/>
  <c r="P16" i="4"/>
  <c r="D16" i="4"/>
  <c r="P4" i="4"/>
  <c r="D4" i="4"/>
  <c r="J4" i="4"/>
  <c r="J9" i="4"/>
  <c r="E5" i="4"/>
  <c r="V25" i="4"/>
  <c r="V27" i="4" s="1"/>
  <c r="K25" i="4"/>
  <c r="J25" i="4"/>
  <c r="E25" i="4"/>
  <c r="D25" i="4"/>
  <c r="K24" i="4"/>
  <c r="I23" i="4"/>
  <c r="J24" i="4" s="1"/>
  <c r="E24" i="4"/>
  <c r="C23" i="4"/>
  <c r="D24" i="4" s="1"/>
  <c r="Q19" i="4"/>
  <c r="P19" i="4"/>
  <c r="E19" i="4"/>
  <c r="D19" i="4"/>
  <c r="E18" i="4"/>
  <c r="D18" i="4"/>
  <c r="V17" i="4"/>
  <c r="V18" i="4" s="1"/>
  <c r="E17" i="4"/>
  <c r="D17" i="4"/>
  <c r="Q17" i="4"/>
  <c r="O16" i="4"/>
  <c r="P17" i="4" s="1"/>
  <c r="K19" i="4"/>
  <c r="I16" i="4"/>
  <c r="J19" i="4" s="1"/>
  <c r="E16" i="4"/>
  <c r="C16" i="4"/>
  <c r="K12" i="4"/>
  <c r="I9" i="4"/>
  <c r="J12" i="4" s="1"/>
  <c r="K7" i="4"/>
  <c r="V6" i="4"/>
  <c r="V8" i="4" s="1"/>
  <c r="K6" i="4"/>
  <c r="J6" i="4"/>
  <c r="K5" i="4"/>
  <c r="J5" i="4"/>
  <c r="D5" i="4"/>
  <c r="Q7" i="4"/>
  <c r="O4" i="4"/>
  <c r="P7" i="4" s="1"/>
  <c r="K4" i="4"/>
  <c r="I4" i="4"/>
  <c r="J7" i="4" s="1"/>
  <c r="E6" i="4"/>
  <c r="C4" i="4"/>
  <c r="D7" i="4" s="1"/>
  <c r="D4" i="3"/>
  <c r="E5" i="3" s="1"/>
  <c r="V25" i="3"/>
  <c r="V27" i="3" s="1"/>
  <c r="K25" i="3"/>
  <c r="E25" i="3"/>
  <c r="K24" i="3"/>
  <c r="K26" i="3"/>
  <c r="I23" i="3"/>
  <c r="J24" i="3" s="1"/>
  <c r="E24" i="3"/>
  <c r="C23" i="3"/>
  <c r="D24" i="3" s="1"/>
  <c r="E19" i="3"/>
  <c r="V17" i="3"/>
  <c r="V19" i="3" s="1"/>
  <c r="K17" i="3"/>
  <c r="I16" i="3"/>
  <c r="J19" i="3" s="1"/>
  <c r="E18" i="3"/>
  <c r="C16" i="3"/>
  <c r="D19" i="3" s="1"/>
  <c r="J11" i="3"/>
  <c r="K10" i="3"/>
  <c r="L10" i="3" s="1"/>
  <c r="K12" i="3"/>
  <c r="I9" i="3"/>
  <c r="K9" i="3" s="1"/>
  <c r="E7" i="3"/>
  <c r="V6" i="3"/>
  <c r="V8" i="3" s="1"/>
  <c r="Q7" i="3"/>
  <c r="O4" i="3"/>
  <c r="P6" i="3" s="1"/>
  <c r="K7" i="3"/>
  <c r="I4" i="3"/>
  <c r="J7" i="3" s="1"/>
  <c r="C4" i="3"/>
  <c r="D5" i="3" s="1"/>
  <c r="J23" i="2"/>
  <c r="K26" i="2" s="1"/>
  <c r="D23" i="2"/>
  <c r="E25" i="2" s="1"/>
  <c r="J16" i="2"/>
  <c r="K18" i="2" s="1"/>
  <c r="P16" i="2"/>
  <c r="D16" i="2"/>
  <c r="E19" i="2" s="1"/>
  <c r="P4" i="2"/>
  <c r="Q6" i="2" s="1"/>
  <c r="J4" i="2"/>
  <c r="K6" i="2" s="1"/>
  <c r="J9" i="2"/>
  <c r="K12" i="2" s="1"/>
  <c r="D4" i="2"/>
  <c r="E7" i="2" s="1"/>
  <c r="V25" i="2"/>
  <c r="V26" i="2" s="1"/>
  <c r="I23" i="2"/>
  <c r="J26" i="2" s="1"/>
  <c r="C23" i="2"/>
  <c r="V17" i="2"/>
  <c r="V19" i="2" s="1"/>
  <c r="Q18" i="2"/>
  <c r="O16" i="2"/>
  <c r="P18" i="2" s="1"/>
  <c r="C16" i="2"/>
  <c r="D19" i="2" s="1"/>
  <c r="I9" i="2"/>
  <c r="J10" i="2" s="1"/>
  <c r="V6" i="2"/>
  <c r="V8" i="2" s="1"/>
  <c r="O4" i="2"/>
  <c r="P6" i="2" s="1"/>
  <c r="I4" i="2"/>
  <c r="K4" i="2" s="1"/>
  <c r="C4" i="2"/>
  <c r="E4" i="2" s="1"/>
  <c r="V7" i="4" l="1"/>
  <c r="P6" i="4"/>
  <c r="E23" i="4"/>
  <c r="Q4" i="4"/>
  <c r="K9" i="4"/>
  <c r="J18" i="4"/>
  <c r="J10" i="4"/>
  <c r="K10" i="4"/>
  <c r="L10" i="4" s="1"/>
  <c r="Q16" i="4"/>
  <c r="Q18" i="4"/>
  <c r="D26" i="4"/>
  <c r="J11" i="4"/>
  <c r="K11" i="4"/>
  <c r="E26" i="4"/>
  <c r="K16" i="4"/>
  <c r="V19" i="4"/>
  <c r="K18" i="4"/>
  <c r="P18" i="4"/>
  <c r="E7" i="4"/>
  <c r="P5" i="4"/>
  <c r="J17" i="4"/>
  <c r="K23" i="4"/>
  <c r="K17" i="4"/>
  <c r="J26" i="4"/>
  <c r="K26" i="4"/>
  <c r="Q6" i="4"/>
  <c r="E4" i="4"/>
  <c r="D6" i="4"/>
  <c r="Q5" i="4"/>
  <c r="V26" i="4"/>
  <c r="K4" i="3"/>
  <c r="J5" i="3"/>
  <c r="P7" i="3"/>
  <c r="J10" i="3"/>
  <c r="J12" i="2"/>
  <c r="J11" i="2"/>
  <c r="J25" i="2"/>
  <c r="E23" i="2"/>
  <c r="K9" i="2"/>
  <c r="V18" i="2"/>
  <c r="P5" i="3"/>
  <c r="E4" i="3"/>
  <c r="D6" i="3"/>
  <c r="J6" i="3"/>
  <c r="D7" i="3"/>
  <c r="E23" i="3"/>
  <c r="V7" i="3"/>
  <c r="F19" i="3"/>
  <c r="L25" i="3"/>
  <c r="F7" i="3"/>
  <c r="R7" i="3"/>
  <c r="F24" i="3"/>
  <c r="F5" i="3"/>
  <c r="F18" i="3"/>
  <c r="L26" i="3"/>
  <c r="L12" i="3"/>
  <c r="L17" i="3"/>
  <c r="L24" i="3"/>
  <c r="L7" i="3"/>
  <c r="F25" i="3"/>
  <c r="E6" i="3"/>
  <c r="F6" i="3" s="1"/>
  <c r="D17" i="3"/>
  <c r="J18" i="3"/>
  <c r="J17" i="3"/>
  <c r="K5" i="3"/>
  <c r="L5" i="3" s="1"/>
  <c r="K18" i="3"/>
  <c r="L18" i="3" s="1"/>
  <c r="D26" i="3"/>
  <c r="K6" i="3"/>
  <c r="L6" i="3" s="1"/>
  <c r="K11" i="3"/>
  <c r="L11" i="3" s="1"/>
  <c r="D25" i="3"/>
  <c r="E26" i="3"/>
  <c r="F26" i="3" s="1"/>
  <c r="Q4" i="3"/>
  <c r="Q5" i="3"/>
  <c r="R5" i="3" s="1"/>
  <c r="J12" i="3"/>
  <c r="E16" i="3"/>
  <c r="E17" i="3"/>
  <c r="F17" i="3" s="1"/>
  <c r="J26" i="3"/>
  <c r="V18" i="3"/>
  <c r="K19" i="3"/>
  <c r="L19" i="3" s="1"/>
  <c r="K23" i="3"/>
  <c r="Q6" i="3"/>
  <c r="R6" i="3" s="1"/>
  <c r="D18" i="3"/>
  <c r="J25" i="3"/>
  <c r="K16" i="3"/>
  <c r="V26" i="3"/>
  <c r="V7" i="2"/>
  <c r="D24" i="2"/>
  <c r="D26" i="2"/>
  <c r="D25" i="2"/>
  <c r="K23" i="2"/>
  <c r="J24" i="2"/>
  <c r="P19" i="2"/>
  <c r="P17" i="2"/>
  <c r="Q16" i="2"/>
  <c r="D18" i="2"/>
  <c r="D17" i="2"/>
  <c r="E16" i="2"/>
  <c r="Q4" i="2"/>
  <c r="K10" i="2"/>
  <c r="L6" i="2" s="1"/>
  <c r="E18" i="2"/>
  <c r="D5" i="2"/>
  <c r="E5" i="2"/>
  <c r="D6" i="2"/>
  <c r="K19" i="2"/>
  <c r="E17" i="2"/>
  <c r="F17" i="2" s="1"/>
  <c r="K24" i="2"/>
  <c r="L24" i="2" s="1"/>
  <c r="J7" i="2"/>
  <c r="K7" i="2"/>
  <c r="Q5" i="2"/>
  <c r="K11" i="2"/>
  <c r="K25" i="2"/>
  <c r="E6" i="2"/>
  <c r="Q7" i="2"/>
  <c r="Q19" i="2"/>
  <c r="P5" i="2"/>
  <c r="E26" i="2"/>
  <c r="P7" i="2"/>
  <c r="V27" i="2"/>
  <c r="J5" i="2"/>
  <c r="D7" i="2"/>
  <c r="K5" i="2"/>
  <c r="L5" i="2" s="1"/>
  <c r="J6" i="2"/>
  <c r="K17" i="2"/>
  <c r="Q17" i="2"/>
  <c r="E24" i="2"/>
  <c r="L26" i="4" l="1"/>
  <c r="L25" i="4"/>
  <c r="L5" i="4"/>
  <c r="R17" i="4"/>
  <c r="F26" i="4"/>
  <c r="F25" i="4"/>
  <c r="R5" i="4"/>
  <c r="L19" i="4"/>
  <c r="L11" i="4"/>
  <c r="R7" i="4"/>
  <c r="F5" i="4"/>
  <c r="R6" i="4"/>
  <c r="R18" i="4"/>
  <c r="F24" i="4"/>
  <c r="L17" i="4"/>
  <c r="F19" i="4"/>
  <c r="L7" i="4"/>
  <c r="R19" i="4"/>
  <c r="L6" i="4"/>
  <c r="F6" i="4"/>
  <c r="F7" i="4"/>
  <c r="L24" i="4"/>
  <c r="L12" i="4"/>
  <c r="L18" i="4"/>
  <c r="F17" i="4"/>
  <c r="F18" i="4"/>
  <c r="R19" i="2"/>
  <c r="R7" i="2"/>
  <c r="L26" i="2"/>
  <c r="F25" i="2"/>
  <c r="L10" i="2"/>
  <c r="F7" i="2"/>
  <c r="F6" i="2"/>
  <c r="L19" i="2"/>
  <c r="R6" i="2"/>
  <c r="F24" i="2"/>
  <c r="L25" i="2"/>
  <c r="L18" i="2"/>
  <c r="R17" i="2"/>
  <c r="L11" i="2"/>
  <c r="F5" i="2"/>
  <c r="F19" i="2"/>
  <c r="R5" i="2"/>
  <c r="R18" i="2"/>
  <c r="L17" i="2"/>
  <c r="F26" i="2"/>
  <c r="L7" i="2"/>
  <c r="F18" i="2"/>
  <c r="L12" i="2"/>
  <c r="I16" i="2" l="1"/>
  <c r="J18" i="2" l="1"/>
  <c r="J19" i="2"/>
  <c r="J17" i="2"/>
  <c r="K16" i="2"/>
</calcChain>
</file>

<file path=xl/sharedStrings.xml><?xml version="1.0" encoding="utf-8"?>
<sst xmlns="http://schemas.openxmlformats.org/spreadsheetml/2006/main" count="273" uniqueCount="121">
  <si>
    <t>Il convient de veiller au respect du temps total des équipes. Le meilleur temps de chaque parcours est donc d’environ 15 % inférieur au temps de référence.</t>
  </si>
  <si>
    <t>EQUIPE</t>
  </si>
  <si>
    <t>OTB</t>
  </si>
  <si>
    <t>NOSE</t>
  </si>
  <si>
    <t>TAD</t>
  </si>
  <si>
    <t>ADOC</t>
  </si>
  <si>
    <t>LOUP</t>
  </si>
  <si>
    <t>ACA</t>
  </si>
  <si>
    <t>HOMMES - 40' (Nuit)</t>
  </si>
  <si>
    <t>HOMMES - 50'</t>
  </si>
  <si>
    <t>HOMMES - 30'</t>
  </si>
  <si>
    <t>HOMMES - 50' (Mixte)</t>
  </si>
  <si>
    <t>DAMES - 30' (Nuit)</t>
  </si>
  <si>
    <t>DAMES - 40'</t>
  </si>
  <si>
    <t>DAMES - 30'</t>
  </si>
  <si>
    <t>JEUNES - 30' (Orange)</t>
  </si>
  <si>
    <t>JEUNES - 30' (Jaune)</t>
  </si>
  <si>
    <t>Arnaud PERRIN</t>
  </si>
  <si>
    <t>Pierre MARTINEZ</t>
  </si>
  <si>
    <t>Nathan MARCHAND</t>
  </si>
  <si>
    <t>Antoine DERLOT</t>
  </si>
  <si>
    <t>Mathias BARROS-VALLET</t>
  </si>
  <si>
    <t>Nathan PHILIBERT</t>
  </si>
  <si>
    <t>Dmytro LEVIN</t>
  </si>
  <si>
    <t>Mael HERITIER</t>
  </si>
  <si>
    <t>Florent GRATTEPANCHE</t>
  </si>
  <si>
    <t>Mathieu PERRIN</t>
  </si>
  <si>
    <t>Riccardo SCALET</t>
  </si>
  <si>
    <t>Axel PANNIER</t>
  </si>
  <si>
    <t>Violette DUPUY</t>
  </si>
  <si>
    <t>Juliette BASSET</t>
  </si>
  <si>
    <t>Fanny TILKIN</t>
  </si>
  <si>
    <t>Cécile CALANDRY</t>
  </si>
  <si>
    <t>Tifenn MOULET</t>
  </si>
  <si>
    <t>Mélanie D'HARREVILLE</t>
  </si>
  <si>
    <t>Cécile FOLTZER</t>
  </si>
  <si>
    <t>Elsa DUVERNEY</t>
  </si>
  <si>
    <t>Hanna ANDROSOVYCH</t>
  </si>
  <si>
    <t>Célestin DUFOUR</t>
  </si>
  <si>
    <t>David DISCHER</t>
  </si>
  <si>
    <t>Maé REGNARD</t>
  </si>
  <si>
    <t>Tom LEMERCIER</t>
  </si>
  <si>
    <t>Titouan ANDRIEUX</t>
  </si>
  <si>
    <t>Elise DUFOUR</t>
  </si>
  <si>
    <t>ASUL</t>
  </si>
  <si>
    <t>GO78</t>
  </si>
  <si>
    <t>ECHO</t>
  </si>
  <si>
    <t>TAF</t>
  </si>
  <si>
    <t>Cenon</t>
  </si>
  <si>
    <t>NB : des équipes arrivées top 5 pm</t>
  </si>
  <si>
    <t>DAMES - 45'</t>
  </si>
  <si>
    <t>DAMES - 35'</t>
  </si>
  <si>
    <t>Loïc CAPBERN</t>
  </si>
  <si>
    <t>Guilhem HABERKORN</t>
  </si>
  <si>
    <t>Benjamin LEPOUTRE</t>
  </si>
  <si>
    <t>Adrien DELENNE</t>
  </si>
  <si>
    <t>François JOLY</t>
  </si>
  <si>
    <t>Guilhem VEROVE</t>
  </si>
  <si>
    <t>Philippe JOLY</t>
  </si>
  <si>
    <t>Quentin ANDRIEUX</t>
  </si>
  <si>
    <t>Tereza JANOSIKOVA</t>
  </si>
  <si>
    <t>Maëlle BEAUVIR</t>
  </si>
  <si>
    <t>Léa VERCELLOTTI</t>
  </si>
  <si>
    <t>Annabelle DELENNE</t>
  </si>
  <si>
    <t>Lucas VERJUX</t>
  </si>
  <si>
    <t>Anton WENZEL</t>
  </si>
  <si>
    <t>Remi BROCHOT</t>
  </si>
  <si>
    <t>Mathieu HERAULT</t>
  </si>
  <si>
    <t>Coline POIROT</t>
  </si>
  <si>
    <t>Prosper TISSOT</t>
  </si>
  <si>
    <t>BCCO</t>
  </si>
  <si>
    <t>ASO</t>
  </si>
  <si>
    <t>FINO</t>
  </si>
  <si>
    <t>NORD</t>
  </si>
  <si>
    <t>OPA</t>
  </si>
  <si>
    <t>B77</t>
  </si>
  <si>
    <t>Passage relais avant arrivée… (chronos indiv. faussés ?)</t>
  </si>
  <si>
    <t>COMul</t>
  </si>
  <si>
    <t>O'Bugey</t>
  </si>
  <si>
    <t>COBF</t>
  </si>
  <si>
    <t>Romain PICHARD</t>
  </si>
  <si>
    <t>Quentin RAUTURIER</t>
  </si>
  <si>
    <t>Théo FLEURENT</t>
  </si>
  <si>
    <t>Simon CALANDRY</t>
  </si>
  <si>
    <t>Johann TINCHANT</t>
  </si>
  <si>
    <t>Antoine BECAERT</t>
  </si>
  <si>
    <t>Alice MERAT</t>
  </si>
  <si>
    <t>Marine SILLIEN</t>
  </si>
  <si>
    <t>Tereza RAUTURIER</t>
  </si>
  <si>
    <t>Josefin TJERNLUND</t>
  </si>
  <si>
    <t>Séverine VANDERMEULEN</t>
  </si>
  <si>
    <t>Sonia JOLLY-JANSSON</t>
  </si>
  <si>
    <t>Tess BASSET</t>
  </si>
  <si>
    <t>Daniel SCHMIDT</t>
  </si>
  <si>
    <t>Noé CHEZEAU</t>
  </si>
  <si>
    <t>Victor BROUWIER</t>
  </si>
  <si>
    <t>Yan PRIGENT</t>
  </si>
  <si>
    <t>Bazile MILHAU</t>
  </si>
  <si>
    <t>Augustin FREY</t>
  </si>
  <si>
    <t>Prénom NOM</t>
  </si>
  <si>
    <t>…</t>
  </si>
  <si>
    <t xml:space="preserve">Alina NIGGLI </t>
  </si>
  <si>
    <t>Lucie GAUDION</t>
  </si>
  <si>
    <t>Mélissa TROCHUT</t>
  </si>
  <si>
    <t>Eva ORNHAGEN</t>
  </si>
  <si>
    <t>Tereza SMELIKOVA</t>
  </si>
  <si>
    <t>O'Alp</t>
  </si>
  <si>
    <t>Lucas BASSET</t>
  </si>
  <si>
    <t xml:space="preserve">Basile BASSET </t>
  </si>
  <si>
    <t>Rémi DUBOIS</t>
  </si>
  <si>
    <t xml:space="preserve">Maxime RAUTURIER </t>
  </si>
  <si>
    <t>Loïc MARTY</t>
  </si>
  <si>
    <t>Elmin HOVMOLLER</t>
  </si>
  <si>
    <t>COM</t>
  </si>
  <si>
    <t>Open</t>
  </si>
  <si>
    <t>Hugo ZYLA</t>
  </si>
  <si>
    <t>Hippolyte BOBIN</t>
  </si>
  <si>
    <t>Anatole FOURNEL MALSA</t>
  </si>
  <si>
    <t>Clement VALLA</t>
  </si>
  <si>
    <t xml:space="preserve">Emile PASQUASY </t>
  </si>
  <si>
    <t>Albin FOLTZER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</si>
</sst>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:ss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00B050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 applyAlignment="1">
      <alignment horizontal="center"/>
    </xf>
    <xf numFmtId="0" fontId="4" fillId="0" borderId="0" xfId="0" applyFont="1"/>
    <xf numFmtId="0" fontId="0" fillId="0" borderId="1" xfId="0" applyBorder="1" applyAlignment="1">
      <alignment horizontal="center"/>
    </xf>
    <xf numFmtId="45" fontId="5" fillId="0" borderId="0" xfId="0" applyNumberFormat="1" applyFont="1" applyAlignment="1">
      <alignment horizontal="center"/>
    </xf>
    <xf numFmtId="45" fontId="3" fillId="0" borderId="0" xfId="0" applyNumberFormat="1" applyFont="1" applyAlignment="1">
      <alignment horizontal="left"/>
    </xf>
    <xf numFmtId="0" fontId="2" fillId="0" borderId="2" xfId="0" applyFont="1" applyBorder="1"/>
    <xf numFmtId="45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45" fontId="0" fillId="0" borderId="0" xfId="0" applyNumberFormat="1"/>
    <xf numFmtId="2" fontId="2" fillId="0" borderId="0" xfId="0" applyNumberFormat="1" applyFont="1"/>
    <xf numFmtId="45" fontId="0" fillId="3" borderId="4" xfId="0" applyNumberFormat="1" applyFill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45" fontId="6" fillId="0" borderId="0" xfId="0" applyNumberFormat="1" applyFont="1"/>
    <xf numFmtId="0" fontId="1" fillId="0" borderId="0" xfId="0" applyFont="1"/>
    <xf numFmtId="2" fontId="2" fillId="2" borderId="0" xfId="0" applyNumberFormat="1" applyFont="1" applyFill="1"/>
    <xf numFmtId="165" fontId="0" fillId="0" borderId="0" xfId="0" applyNumberFormat="1"/>
    <xf numFmtId="45" fontId="4" fillId="0" borderId="0" xfId="0" applyNumberFormat="1" applyFont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45" fontId="0" fillId="0" borderId="4" xfId="0" applyNumberFormat="1" applyBorder="1" applyAlignment="1">
      <alignment horizontal="center"/>
    </xf>
  </cellXfs>
  <cellStyles count="1">
    <cellStyle name="Normal" xfId="0" builtinId="0"/>
  </cellStyles>
  <dxfs count="126"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FF15C-C363-45F0-9841-7C425789DD39}">
  <dimension ref="B1:V28"/>
  <sheetViews>
    <sheetView workbookViewId="0">
      <selection activeCell="B30" sqref="B30"/>
    </sheetView>
  </sheetViews>
  <sheetFormatPr baseColWidth="10" defaultRowHeight="14.4" x14ac:dyDescent="0.3"/>
  <cols>
    <col min="1" max="1" width="1.6640625" customWidth="1"/>
    <col min="2" max="2" width="20.21875" customWidth="1"/>
    <col min="3" max="3" width="6.6640625" customWidth="1"/>
    <col min="4" max="4" width="7.77734375" customWidth="1"/>
    <col min="5" max="5" width="6.109375" customWidth="1"/>
    <col min="6" max="6" width="6.109375" style="2" customWidth="1"/>
    <col min="7" max="7" width="5.5546875" customWidth="1"/>
    <col min="8" max="8" width="20.21875" customWidth="1"/>
    <col min="9" max="9" width="6.6640625" customWidth="1"/>
    <col min="10" max="10" width="7.77734375" customWidth="1"/>
    <col min="11" max="11" width="6.109375" customWidth="1"/>
    <col min="12" max="12" width="6.109375" style="2" customWidth="1"/>
    <col min="13" max="13" width="5.5546875" customWidth="1"/>
    <col min="14" max="14" width="20.21875" customWidth="1"/>
    <col min="15" max="15" width="6.6640625" customWidth="1"/>
    <col min="16" max="16" width="7.77734375" customWidth="1"/>
    <col min="17" max="17" width="6.109375" customWidth="1"/>
    <col min="18" max="18" width="6.109375" style="2" customWidth="1"/>
    <col min="19" max="19" width="8.88671875" customWidth="1"/>
    <col min="20" max="20" width="7.33203125" bestFit="1" customWidth="1"/>
    <col min="21" max="21" width="7.109375" style="3" bestFit="1" customWidth="1"/>
    <col min="22" max="22" width="7.77734375" style="3" bestFit="1" customWidth="1"/>
  </cols>
  <sheetData>
    <row r="1" spans="2:22" ht="9.6" customHeight="1" x14ac:dyDescent="0.3">
      <c r="C1" s="1"/>
      <c r="D1" s="1"/>
      <c r="I1" s="1"/>
      <c r="J1" s="1"/>
      <c r="O1" s="1"/>
      <c r="P1" s="1"/>
    </row>
    <row r="2" spans="2:22" x14ac:dyDescent="0.3">
      <c r="B2" s="4" t="s">
        <v>0</v>
      </c>
      <c r="C2" s="1"/>
      <c r="D2" s="1"/>
      <c r="I2" s="1"/>
      <c r="J2" s="1"/>
      <c r="O2" s="1"/>
      <c r="Q2" s="21"/>
    </row>
    <row r="3" spans="2:22" x14ac:dyDescent="0.3">
      <c r="C3" s="1"/>
      <c r="D3" s="1"/>
      <c r="I3" s="1"/>
      <c r="O3" s="5"/>
      <c r="P3" s="1"/>
    </row>
    <row r="4" spans="2:22" x14ac:dyDescent="0.3">
      <c r="B4" s="2" t="s">
        <v>8</v>
      </c>
      <c r="C4" s="19">
        <f>F4*0.85</f>
        <v>2.361111111111111E-2</v>
      </c>
      <c r="D4">
        <f>0+0*0.01</f>
        <v>0</v>
      </c>
      <c r="E4" s="15" t="e">
        <f>C4/D4</f>
        <v>#DIV/0!</v>
      </c>
      <c r="F4" s="7">
        <v>2.7777777777777776E-2</v>
      </c>
      <c r="H4" s="2" t="s">
        <v>11</v>
      </c>
      <c r="I4" s="19">
        <f>L4*0.85</f>
        <v>2.9513888888888888E-2</v>
      </c>
      <c r="J4">
        <f>0+0*0.01</f>
        <v>0</v>
      </c>
      <c r="K4" s="15" t="e">
        <f>I4/J4</f>
        <v>#DIV/0!</v>
      </c>
      <c r="L4" s="7">
        <v>3.4722222222222224E-2</v>
      </c>
      <c r="N4" s="2" t="s">
        <v>10</v>
      </c>
      <c r="O4" s="19">
        <f>R4*0.85</f>
        <v>1.7708333333333333E-2</v>
      </c>
      <c r="P4">
        <f>0+0*0.01</f>
        <v>0</v>
      </c>
      <c r="Q4" s="15" t="e">
        <f>O4/P4</f>
        <v>#DIV/0!</v>
      </c>
      <c r="R4" s="7">
        <v>2.0833333333333332E-2</v>
      </c>
      <c r="T4" s="2" t="s">
        <v>1</v>
      </c>
      <c r="V4" s="20">
        <v>0.20138888888888887</v>
      </c>
    </row>
    <row r="5" spans="2:22" x14ac:dyDescent="0.3">
      <c r="B5" t="s">
        <v>99</v>
      </c>
      <c r="C5" s="9">
        <v>0</v>
      </c>
      <c r="D5" s="10">
        <f>(C5-C$4)/C$4</f>
        <v>-1</v>
      </c>
      <c r="E5" s="11" t="e">
        <f>C5/D$4</f>
        <v>#DIV/0!</v>
      </c>
      <c r="F5" s="12" t="e">
        <f>E5/$K$10</f>
        <v>#DIV/0!</v>
      </c>
      <c r="H5" t="s">
        <v>100</v>
      </c>
      <c r="I5" s="9">
        <v>0</v>
      </c>
      <c r="J5" s="10">
        <f>(I5-I$4)/I$4</f>
        <v>-1</v>
      </c>
      <c r="K5" s="11" t="e">
        <f>I5/J$4</f>
        <v>#DIV/0!</v>
      </c>
      <c r="L5" s="12" t="e">
        <f>K5/$K$10</f>
        <v>#DIV/0!</v>
      </c>
      <c r="N5" t="s">
        <v>100</v>
      </c>
      <c r="O5" s="9">
        <v>0</v>
      </c>
      <c r="P5" s="10">
        <f>(O5-O$4)/O$4</f>
        <v>-1</v>
      </c>
      <c r="Q5" s="11" t="e">
        <f>O5/P$4</f>
        <v>#DIV/0!</v>
      </c>
      <c r="R5" s="12" t="e">
        <f>Q5/$K$10</f>
        <v>#DIV/0!</v>
      </c>
      <c r="T5" t="s">
        <v>1</v>
      </c>
      <c r="U5" s="3">
        <v>0</v>
      </c>
    </row>
    <row r="6" spans="2:22" x14ac:dyDescent="0.3">
      <c r="B6" t="s">
        <v>100</v>
      </c>
      <c r="C6" s="9">
        <v>0</v>
      </c>
      <c r="D6" s="10">
        <f t="shared" ref="D6:D7" si="0">(C6-C$4)/C$4</f>
        <v>-1</v>
      </c>
      <c r="E6" s="11" t="e">
        <f>C6/D$4</f>
        <v>#DIV/0!</v>
      </c>
      <c r="F6" s="12" t="e">
        <f t="shared" ref="F6:F7" si="1">E6/$K$10</f>
        <v>#DIV/0!</v>
      </c>
      <c r="H6" t="s">
        <v>100</v>
      </c>
      <c r="I6" s="9">
        <v>0</v>
      </c>
      <c r="J6" s="10">
        <f t="shared" ref="J6:J7" si="2">(I6-I$4)/I$4</f>
        <v>-1</v>
      </c>
      <c r="K6" s="11" t="e">
        <f>I6/J$4</f>
        <v>#DIV/0!</v>
      </c>
      <c r="L6" s="12" t="e">
        <f t="shared" ref="L6:L7" si="3">K6/$K$10</f>
        <v>#DIV/0!</v>
      </c>
      <c r="N6" t="s">
        <v>100</v>
      </c>
      <c r="O6" s="9">
        <v>0</v>
      </c>
      <c r="P6" s="10">
        <f t="shared" ref="P6:P7" si="4">(O6-O$4)/O$4</f>
        <v>-1</v>
      </c>
      <c r="Q6" s="11" t="e">
        <f>O6/P$4</f>
        <v>#DIV/0!</v>
      </c>
      <c r="R6" s="12" t="e">
        <f t="shared" ref="R6:R7" si="5">Q6/$K$10</f>
        <v>#DIV/0!</v>
      </c>
      <c r="T6" t="s">
        <v>100</v>
      </c>
      <c r="U6" s="3">
        <v>0</v>
      </c>
      <c r="V6" s="14">
        <f>AVERAGE(U5:U9)</f>
        <v>0</v>
      </c>
    </row>
    <row r="7" spans="2:22" x14ac:dyDescent="0.3">
      <c r="B7" t="s">
        <v>100</v>
      </c>
      <c r="C7" s="9">
        <v>0</v>
      </c>
      <c r="D7" s="10">
        <f t="shared" si="0"/>
        <v>-1</v>
      </c>
      <c r="E7" s="11" t="e">
        <f>C7/D$4</f>
        <v>#DIV/0!</v>
      </c>
      <c r="F7" s="12" t="e">
        <f t="shared" si="1"/>
        <v>#DIV/0!</v>
      </c>
      <c r="H7" t="s">
        <v>100</v>
      </c>
      <c r="I7" s="9">
        <v>0</v>
      </c>
      <c r="J7" s="10">
        <f t="shared" si="2"/>
        <v>-1</v>
      </c>
      <c r="K7" s="11" t="e">
        <f>I7/J$4</f>
        <v>#DIV/0!</v>
      </c>
      <c r="L7" s="12" t="e">
        <f t="shared" si="3"/>
        <v>#DIV/0!</v>
      </c>
      <c r="N7" t="s">
        <v>100</v>
      </c>
      <c r="O7" s="9">
        <v>0</v>
      </c>
      <c r="P7" s="10">
        <f t="shared" si="4"/>
        <v>-1</v>
      </c>
      <c r="Q7" s="11" t="e">
        <f>O7/P$4</f>
        <v>#DIV/0!</v>
      </c>
      <c r="R7" s="12" t="e">
        <f t="shared" si="5"/>
        <v>#DIV/0!</v>
      </c>
      <c r="T7" t="s">
        <v>100</v>
      </c>
      <c r="U7" s="3">
        <v>0</v>
      </c>
      <c r="V7" s="3">
        <f>ABS(V6-V4)</f>
        <v>0.20138888888888887</v>
      </c>
    </row>
    <row r="8" spans="2:22" x14ac:dyDescent="0.3">
      <c r="C8" s="1"/>
      <c r="D8" s="10"/>
      <c r="I8" s="1"/>
      <c r="J8" s="10"/>
      <c r="O8" s="1"/>
      <c r="P8" s="10"/>
      <c r="T8" t="s">
        <v>100</v>
      </c>
      <c r="U8" s="3">
        <v>0</v>
      </c>
      <c r="V8" s="10">
        <f>(V6-V4)/V4</f>
        <v>-1</v>
      </c>
    </row>
    <row r="9" spans="2:22" x14ac:dyDescent="0.3">
      <c r="C9" s="1"/>
      <c r="D9" s="1"/>
      <c r="H9" s="2" t="s">
        <v>9</v>
      </c>
      <c r="I9" s="19">
        <f>L9*0.85</f>
        <v>2.9513888888888888E-2</v>
      </c>
      <c r="J9">
        <f>0+0*0.01</f>
        <v>0</v>
      </c>
      <c r="K9" s="15" t="e">
        <f>I9/J9</f>
        <v>#DIV/0!</v>
      </c>
      <c r="L9" s="7">
        <v>3.4722222222222224E-2</v>
      </c>
      <c r="O9" s="1"/>
      <c r="P9" s="1"/>
      <c r="T9" t="s">
        <v>100</v>
      </c>
      <c r="U9" s="3">
        <v>0</v>
      </c>
    </row>
    <row r="10" spans="2:22" x14ac:dyDescent="0.3">
      <c r="B10" s="2"/>
      <c r="C10" s="6"/>
      <c r="D10" s="7"/>
      <c r="H10" t="s">
        <v>100</v>
      </c>
      <c r="I10" s="9">
        <v>0</v>
      </c>
      <c r="J10" s="10">
        <f>(I10-I$9)/I$9</f>
        <v>-1</v>
      </c>
      <c r="K10" s="11" t="e">
        <f>I10/J$9</f>
        <v>#DIV/0!</v>
      </c>
      <c r="L10" s="17" t="e">
        <f>K10/$K$10</f>
        <v>#DIV/0!</v>
      </c>
      <c r="N10" s="2"/>
      <c r="O10" s="6"/>
      <c r="P10" s="7"/>
      <c r="U10"/>
      <c r="V10"/>
    </row>
    <row r="11" spans="2:22" x14ac:dyDescent="0.3">
      <c r="C11" s="9"/>
      <c r="D11" s="7"/>
      <c r="E11" s="11"/>
      <c r="F11" s="12"/>
      <c r="H11" t="s">
        <v>100</v>
      </c>
      <c r="I11" s="9">
        <v>0</v>
      </c>
      <c r="J11" s="10">
        <f t="shared" ref="J11:J12" si="6">(I11-I$9)/I$9</f>
        <v>-1</v>
      </c>
      <c r="K11" s="11" t="e">
        <f>I11/J$9</f>
        <v>#DIV/0!</v>
      </c>
      <c r="L11" s="12" t="e">
        <f>K11/$K$10</f>
        <v>#DIV/0!</v>
      </c>
      <c r="O11" s="9"/>
      <c r="P11" s="7"/>
      <c r="Q11" s="11"/>
      <c r="R11" s="12"/>
      <c r="U11"/>
      <c r="V11"/>
    </row>
    <row r="12" spans="2:22" x14ac:dyDescent="0.3">
      <c r="C12" s="9"/>
      <c r="D12" s="7"/>
      <c r="E12" s="11"/>
      <c r="F12" s="12"/>
      <c r="H12" t="s">
        <v>100</v>
      </c>
      <c r="I12" s="9">
        <v>0</v>
      </c>
      <c r="J12" s="10">
        <f t="shared" si="6"/>
        <v>-1</v>
      </c>
      <c r="K12" s="11" t="e">
        <f>I12/J$9</f>
        <v>#DIV/0!</v>
      </c>
      <c r="L12" s="12" t="e">
        <f t="shared" ref="L12" si="7">K12/$K$10</f>
        <v>#DIV/0!</v>
      </c>
      <c r="O12" s="9"/>
      <c r="P12" s="7"/>
      <c r="Q12" s="11"/>
      <c r="R12" s="12"/>
      <c r="U12"/>
      <c r="V12"/>
    </row>
    <row r="13" spans="2:22" x14ac:dyDescent="0.3">
      <c r="C13" s="9"/>
      <c r="D13" s="7"/>
      <c r="E13" s="11"/>
      <c r="F13" s="12"/>
      <c r="K13" s="11"/>
      <c r="L13" s="12"/>
      <c r="O13" s="9"/>
      <c r="P13" s="7"/>
      <c r="Q13" s="11"/>
      <c r="R13" s="12"/>
      <c r="U13"/>
      <c r="V13"/>
    </row>
    <row r="14" spans="2:22" x14ac:dyDescent="0.3">
      <c r="C14" s="1"/>
      <c r="D14" s="10"/>
      <c r="I14" s="1"/>
      <c r="J14" s="10"/>
      <c r="O14" s="1"/>
      <c r="P14" s="10"/>
      <c r="U14"/>
      <c r="V14"/>
    </row>
    <row r="15" spans="2:22" x14ac:dyDescent="0.3">
      <c r="C15" s="1"/>
      <c r="I15" s="1"/>
      <c r="O15" s="1"/>
      <c r="T15" s="2" t="s">
        <v>1</v>
      </c>
      <c r="V15" s="20">
        <v>0.11805555555555557</v>
      </c>
    </row>
    <row r="16" spans="2:22" x14ac:dyDescent="0.3">
      <c r="B16" s="2" t="s">
        <v>12</v>
      </c>
      <c r="C16" s="19">
        <f>F16*0.85</f>
        <v>1.7708333333333333E-2</v>
      </c>
      <c r="D16">
        <f>0+0*0.01</f>
        <v>0</v>
      </c>
      <c r="E16" s="15" t="e">
        <f>C16/D16</f>
        <v>#DIV/0!</v>
      </c>
      <c r="F16" s="7">
        <v>2.0833333333333332E-2</v>
      </c>
      <c r="H16" s="2" t="s">
        <v>13</v>
      </c>
      <c r="I16" s="19">
        <f>L16*0.85</f>
        <v>2.361111111111111E-2</v>
      </c>
      <c r="J16">
        <f>0+0*0.01</f>
        <v>0</v>
      </c>
      <c r="K16" s="15" t="e">
        <f>I16/J16</f>
        <v>#DIV/0!</v>
      </c>
      <c r="L16" s="7">
        <v>2.7777777777777776E-2</v>
      </c>
      <c r="N16" s="8" t="s">
        <v>14</v>
      </c>
      <c r="O16" s="19">
        <f>R16*0.85</f>
        <v>1.7708333333333333E-2</v>
      </c>
      <c r="P16">
        <f>0+0*0.01</f>
        <v>0</v>
      </c>
      <c r="Q16" s="15" t="e">
        <f>O16/P16</f>
        <v>#DIV/0!</v>
      </c>
      <c r="R16" s="7">
        <v>2.0833333333333332E-2</v>
      </c>
      <c r="T16" t="s">
        <v>1</v>
      </c>
      <c r="U16" s="3">
        <v>0</v>
      </c>
    </row>
    <row r="17" spans="2:22" x14ac:dyDescent="0.3">
      <c r="B17" t="s">
        <v>100</v>
      </c>
      <c r="C17" s="9">
        <v>0</v>
      </c>
      <c r="D17" s="10">
        <f>(C17-C$16)/C$16</f>
        <v>-1</v>
      </c>
      <c r="E17" s="11" t="e">
        <f>C17/D$16</f>
        <v>#DIV/0!</v>
      </c>
      <c r="F17" s="12" t="e">
        <f>E17/$K$10</f>
        <v>#DIV/0!</v>
      </c>
      <c r="H17" t="s">
        <v>100</v>
      </c>
      <c r="I17" s="9">
        <v>0</v>
      </c>
      <c r="J17" s="10">
        <f>(I17-I$16)/I$16</f>
        <v>-1</v>
      </c>
      <c r="K17" s="11" t="e">
        <f>I17/J$16</f>
        <v>#DIV/0!</v>
      </c>
      <c r="L17" s="12" t="e">
        <f>K17/$K$10</f>
        <v>#DIV/0!</v>
      </c>
      <c r="N17" t="s">
        <v>100</v>
      </c>
      <c r="O17" s="9">
        <v>0</v>
      </c>
      <c r="P17" s="10">
        <f>(O17-O$16)/O$16</f>
        <v>-1</v>
      </c>
      <c r="Q17" s="11" t="e">
        <f>O17/P$16</f>
        <v>#DIV/0!</v>
      </c>
      <c r="R17" s="12" t="e">
        <f>Q17/$K$10</f>
        <v>#DIV/0!</v>
      </c>
      <c r="T17" t="s">
        <v>100</v>
      </c>
      <c r="U17" s="3">
        <v>0</v>
      </c>
      <c r="V17" s="14">
        <f>AVERAGE(U16:U20)</f>
        <v>0</v>
      </c>
    </row>
    <row r="18" spans="2:22" x14ac:dyDescent="0.3">
      <c r="B18" t="s">
        <v>100</v>
      </c>
      <c r="C18" s="9">
        <v>0</v>
      </c>
      <c r="D18" s="10">
        <f t="shared" ref="D18:D19" si="8">(C18-C$16)/C$16</f>
        <v>-1</v>
      </c>
      <c r="E18" s="11" t="e">
        <f>C18/D$16</f>
        <v>#DIV/0!</v>
      </c>
      <c r="F18" s="12" t="e">
        <f t="shared" ref="F18:F19" si="9">E18/$K$10</f>
        <v>#DIV/0!</v>
      </c>
      <c r="H18" t="s">
        <v>100</v>
      </c>
      <c r="I18" s="9">
        <v>0</v>
      </c>
      <c r="J18" s="10">
        <f t="shared" ref="J18:J19" si="10">(I18-I$16)/I$16</f>
        <v>-1</v>
      </c>
      <c r="K18" s="11" t="e">
        <f>I18/J$16</f>
        <v>#DIV/0!</v>
      </c>
      <c r="L18" s="12" t="e">
        <f t="shared" ref="L18:L19" si="11">K18/$K$10</f>
        <v>#DIV/0!</v>
      </c>
      <c r="N18" t="s">
        <v>100</v>
      </c>
      <c r="O18" s="9">
        <v>0</v>
      </c>
      <c r="P18" s="10">
        <f t="shared" ref="P18:P19" si="12">(O18-O$16)/O$16</f>
        <v>-1</v>
      </c>
      <c r="Q18" s="11" t="e">
        <f>O18/P$16</f>
        <v>#DIV/0!</v>
      </c>
      <c r="R18" s="12" t="e">
        <f t="shared" ref="R18:R19" si="13">Q18/$K$10</f>
        <v>#DIV/0!</v>
      </c>
      <c r="T18" t="s">
        <v>100</v>
      </c>
      <c r="U18" s="3">
        <v>0</v>
      </c>
      <c r="V18" s="3">
        <f>ABS(V17-V15)</f>
        <v>0.11805555555555557</v>
      </c>
    </row>
    <row r="19" spans="2:22" x14ac:dyDescent="0.3">
      <c r="B19" t="s">
        <v>100</v>
      </c>
      <c r="C19" s="9">
        <v>0</v>
      </c>
      <c r="D19" s="10">
        <f t="shared" si="8"/>
        <v>-1</v>
      </c>
      <c r="E19" s="11" t="e">
        <f>C19/D$16</f>
        <v>#DIV/0!</v>
      </c>
      <c r="F19" s="12" t="e">
        <f t="shared" si="9"/>
        <v>#DIV/0!</v>
      </c>
      <c r="H19" t="s">
        <v>100</v>
      </c>
      <c r="I19" s="9">
        <v>0</v>
      </c>
      <c r="J19" s="10">
        <f t="shared" si="10"/>
        <v>-1</v>
      </c>
      <c r="K19" s="11" t="e">
        <f>I19/J$16</f>
        <v>#DIV/0!</v>
      </c>
      <c r="L19" s="12" t="e">
        <f t="shared" si="11"/>
        <v>#DIV/0!</v>
      </c>
      <c r="N19" t="s">
        <v>100</v>
      </c>
      <c r="O19" s="9">
        <v>0</v>
      </c>
      <c r="P19" s="10">
        <f t="shared" si="12"/>
        <v>-1</v>
      </c>
      <c r="Q19" s="11" t="e">
        <f>O19/P$16</f>
        <v>#DIV/0!</v>
      </c>
      <c r="R19" s="12" t="e">
        <f t="shared" si="13"/>
        <v>#DIV/0!</v>
      </c>
      <c r="T19" t="s">
        <v>100</v>
      </c>
      <c r="U19" s="3">
        <v>0</v>
      </c>
      <c r="V19" s="10">
        <f>(V17-V15)/V15</f>
        <v>-1</v>
      </c>
    </row>
    <row r="20" spans="2:22" x14ac:dyDescent="0.3">
      <c r="C20" s="1"/>
      <c r="D20" s="10"/>
      <c r="I20" s="1"/>
      <c r="J20" s="10"/>
      <c r="O20" s="1"/>
      <c r="P20" s="10"/>
      <c r="T20" t="s">
        <v>100</v>
      </c>
      <c r="U20" s="3">
        <v>0</v>
      </c>
    </row>
    <row r="21" spans="2:22" x14ac:dyDescent="0.3">
      <c r="C21" s="1"/>
      <c r="D21" s="1"/>
      <c r="I21" s="1"/>
      <c r="J21" s="1"/>
      <c r="O21" s="1"/>
      <c r="P21" s="1"/>
    </row>
    <row r="22" spans="2:22" x14ac:dyDescent="0.3">
      <c r="C22" s="1"/>
      <c r="I22" s="1"/>
      <c r="J22" s="1"/>
      <c r="O22" s="1"/>
      <c r="P22" s="1"/>
    </row>
    <row r="23" spans="2:22" x14ac:dyDescent="0.3">
      <c r="B23" s="2" t="s">
        <v>15</v>
      </c>
      <c r="C23" s="19">
        <f>F23*0.85</f>
        <v>1.7708333333333333E-2</v>
      </c>
      <c r="D23">
        <f>0+0*0.01</f>
        <v>0</v>
      </c>
      <c r="E23" s="15" t="e">
        <f>C23/D23</f>
        <v>#DIV/0!</v>
      </c>
      <c r="F23" s="7">
        <v>2.0833333333333332E-2</v>
      </c>
      <c r="H23" s="2" t="s">
        <v>16</v>
      </c>
      <c r="I23" s="19">
        <f>L23*0.85</f>
        <v>1.7708333333333333E-2</v>
      </c>
      <c r="J23">
        <f>0+0*0.01</f>
        <v>0</v>
      </c>
      <c r="K23" s="15" t="e">
        <f>I23/J23</f>
        <v>#DIV/0!</v>
      </c>
      <c r="L23" s="7">
        <v>2.0833333333333332E-2</v>
      </c>
      <c r="O23" s="1"/>
      <c r="P23" s="1"/>
      <c r="T23" s="2" t="s">
        <v>1</v>
      </c>
      <c r="V23" s="20">
        <v>8.3333333333333329E-2</v>
      </c>
    </row>
    <row r="24" spans="2:22" x14ac:dyDescent="0.3">
      <c r="B24" t="s">
        <v>100</v>
      </c>
      <c r="C24" s="9">
        <v>0</v>
      </c>
      <c r="D24" s="10">
        <f>(C24-C$23)/C$23</f>
        <v>-1</v>
      </c>
      <c r="E24" s="11" t="e">
        <f>C24/D$23</f>
        <v>#DIV/0!</v>
      </c>
      <c r="F24" s="12" t="e">
        <f>E24/$K$10</f>
        <v>#DIV/0!</v>
      </c>
      <c r="H24" t="s">
        <v>100</v>
      </c>
      <c r="I24" s="9">
        <v>0</v>
      </c>
      <c r="J24" s="10">
        <f>(I24-I$23)/I$23</f>
        <v>-1</v>
      </c>
      <c r="K24" s="11" t="e">
        <f>I24/J$23</f>
        <v>#DIV/0!</v>
      </c>
      <c r="L24" s="12" t="e">
        <f>K24/$K$10</f>
        <v>#DIV/0!</v>
      </c>
      <c r="O24" s="1"/>
      <c r="P24" s="1"/>
      <c r="T24" t="s">
        <v>1</v>
      </c>
      <c r="U24" s="3">
        <v>0</v>
      </c>
    </row>
    <row r="25" spans="2:22" x14ac:dyDescent="0.3">
      <c r="B25" t="s">
        <v>100</v>
      </c>
      <c r="C25" s="9">
        <v>0</v>
      </c>
      <c r="D25" s="10">
        <f t="shared" ref="D25:D26" si="14">(C25-C$23)/C$23</f>
        <v>-1</v>
      </c>
      <c r="E25" s="11" t="e">
        <f>C25/D$23</f>
        <v>#DIV/0!</v>
      </c>
      <c r="F25" s="12" t="e">
        <f t="shared" ref="F25:F26" si="15">E25/$K$10</f>
        <v>#DIV/0!</v>
      </c>
      <c r="H25" t="s">
        <v>100</v>
      </c>
      <c r="I25" s="9">
        <v>0</v>
      </c>
      <c r="J25" s="10">
        <f t="shared" ref="J25:J26" si="16">(I25-I$23)/I$23</f>
        <v>-1</v>
      </c>
      <c r="K25" s="11" t="e">
        <f>I25/J$23</f>
        <v>#DIV/0!</v>
      </c>
      <c r="L25" s="12" t="e">
        <f t="shared" ref="L25:L26" si="17">K25/$K$10</f>
        <v>#DIV/0!</v>
      </c>
      <c r="O25" s="1"/>
      <c r="P25" s="1"/>
      <c r="T25" t="s">
        <v>100</v>
      </c>
      <c r="U25" s="3">
        <v>0</v>
      </c>
      <c r="V25" s="14">
        <f>AVERAGE(U24:U28)</f>
        <v>0</v>
      </c>
    </row>
    <row r="26" spans="2:22" x14ac:dyDescent="0.3">
      <c r="B26" t="s">
        <v>100</v>
      </c>
      <c r="C26" s="9">
        <v>0</v>
      </c>
      <c r="D26" s="10">
        <f t="shared" si="14"/>
        <v>-1</v>
      </c>
      <c r="E26" s="11" t="e">
        <f>C26/D$23</f>
        <v>#DIV/0!</v>
      </c>
      <c r="F26" s="12" t="e">
        <f t="shared" si="15"/>
        <v>#DIV/0!</v>
      </c>
      <c r="H26" t="s">
        <v>100</v>
      </c>
      <c r="I26" s="9">
        <v>0</v>
      </c>
      <c r="J26" s="10">
        <f t="shared" si="16"/>
        <v>-1</v>
      </c>
      <c r="K26" s="11" t="e">
        <f>I26/J$23</f>
        <v>#DIV/0!</v>
      </c>
      <c r="L26" s="12" t="e">
        <f t="shared" si="17"/>
        <v>#DIV/0!</v>
      </c>
      <c r="O26" s="1"/>
      <c r="P26" s="1"/>
      <c r="T26" t="s">
        <v>100</v>
      </c>
      <c r="U26" s="3">
        <v>0</v>
      </c>
      <c r="V26" s="3">
        <f>ABS(V25-V23)</f>
        <v>8.3333333333333329E-2</v>
      </c>
    </row>
    <row r="27" spans="2:22" x14ac:dyDescent="0.3">
      <c r="T27" t="s">
        <v>100</v>
      </c>
      <c r="U27" s="3">
        <v>0</v>
      </c>
      <c r="V27" s="10">
        <f>(V25-V23)/V23</f>
        <v>-1</v>
      </c>
    </row>
    <row r="28" spans="2:22" x14ac:dyDescent="0.3">
      <c r="T28" t="s">
        <v>100</v>
      </c>
      <c r="U28" s="3">
        <v>0</v>
      </c>
    </row>
  </sheetData>
  <conditionalFormatting sqref="D5:D7 J5:J7 P5:P7 J10:J12 D17:D19 J17:J19 P17:P19 D24:D26 J24:J26">
    <cfRule type="cellIs" dxfId="125" priority="19" operator="greaterThanOrEqual">
      <formula>0.25</formula>
    </cfRule>
    <cfRule type="cellIs" dxfId="124" priority="20" operator="between">
      <formula>0.15</formula>
      <formula>0.25</formula>
    </cfRule>
    <cfRule type="cellIs" dxfId="123" priority="21" operator="between">
      <formula>0.05</formula>
      <formula>0.15</formula>
    </cfRule>
    <cfRule type="cellIs" dxfId="122" priority="22" operator="between">
      <formula>-0.05</formula>
      <formula>0.05</formula>
    </cfRule>
    <cfRule type="cellIs" dxfId="121" priority="23" operator="between">
      <formula>-0.15</formula>
      <formula>-0.05</formula>
    </cfRule>
    <cfRule type="cellIs" dxfId="120" priority="24" operator="lessThanOrEqual">
      <formula>-0.15</formula>
    </cfRule>
  </conditionalFormatting>
  <conditionalFormatting sqref="V8">
    <cfRule type="cellIs" dxfId="119" priority="13" operator="greaterThanOrEqual">
      <formula>0.25</formula>
    </cfRule>
    <cfRule type="cellIs" dxfId="118" priority="14" operator="between">
      <formula>0.15</formula>
      <formula>0.25</formula>
    </cfRule>
    <cfRule type="cellIs" dxfId="117" priority="15" operator="between">
      <formula>0.05</formula>
      <formula>0.15</formula>
    </cfRule>
    <cfRule type="cellIs" dxfId="116" priority="16" operator="between">
      <formula>-0.05</formula>
      <formula>0.05</formula>
    </cfRule>
    <cfRule type="cellIs" dxfId="115" priority="17" operator="between">
      <formula>-0.15</formula>
      <formula>-0.05</formula>
    </cfRule>
    <cfRule type="cellIs" dxfId="114" priority="18" operator="lessThanOrEqual">
      <formula>-0.15</formula>
    </cfRule>
  </conditionalFormatting>
  <conditionalFormatting sqref="V19">
    <cfRule type="cellIs" dxfId="113" priority="7" operator="greaterThanOrEqual">
      <formula>0.25</formula>
    </cfRule>
    <cfRule type="cellIs" dxfId="112" priority="8" operator="between">
      <formula>0.15</formula>
      <formula>0.25</formula>
    </cfRule>
    <cfRule type="cellIs" dxfId="111" priority="9" operator="between">
      <formula>0.05</formula>
      <formula>0.15</formula>
    </cfRule>
    <cfRule type="cellIs" dxfId="110" priority="10" operator="between">
      <formula>-0.05</formula>
      <formula>0.05</formula>
    </cfRule>
    <cfRule type="cellIs" dxfId="109" priority="11" operator="between">
      <formula>-0.15</formula>
      <formula>-0.05</formula>
    </cfRule>
    <cfRule type="cellIs" dxfId="108" priority="12" operator="lessThanOrEqual">
      <formula>-0.15</formula>
    </cfRule>
  </conditionalFormatting>
  <conditionalFormatting sqref="V27">
    <cfRule type="cellIs" dxfId="107" priority="1" operator="greaterThanOrEqual">
      <formula>0.25</formula>
    </cfRule>
    <cfRule type="cellIs" dxfId="106" priority="2" operator="between">
      <formula>0.15</formula>
      <formula>0.25</formula>
    </cfRule>
    <cfRule type="cellIs" dxfId="105" priority="3" operator="between">
      <formula>0.05</formula>
      <formula>0.15</formula>
    </cfRule>
    <cfRule type="cellIs" dxfId="104" priority="4" operator="between">
      <formula>-0.05</formula>
      <formula>0.05</formula>
    </cfRule>
    <cfRule type="cellIs" dxfId="103" priority="5" operator="between">
      <formula>-0.15</formula>
      <formula>-0.05</formula>
    </cfRule>
    <cfRule type="cellIs" dxfId="102" priority="6" operator="lessThanOrEqual">
      <formula>-0.15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98820-4397-4617-9DD3-62C861C83945}">
  <dimension ref="B1:V28"/>
  <sheetViews>
    <sheetView workbookViewId="0"/>
  </sheetViews>
  <sheetFormatPr baseColWidth="10" defaultRowHeight="14.4" x14ac:dyDescent="0.3"/>
  <cols>
    <col min="1" max="1" width="1.6640625" customWidth="1"/>
    <col min="2" max="2" width="20.21875" customWidth="1"/>
    <col min="3" max="3" width="6.6640625" customWidth="1"/>
    <col min="4" max="4" width="7.77734375" customWidth="1"/>
    <col min="5" max="5" width="6.109375" customWidth="1"/>
    <col min="6" max="6" width="6.109375" style="2" customWidth="1"/>
    <col min="7" max="7" width="5.5546875" customWidth="1"/>
    <col min="8" max="8" width="20.21875" customWidth="1"/>
    <col min="9" max="9" width="6.6640625" customWidth="1"/>
    <col min="10" max="10" width="7.77734375" customWidth="1"/>
    <col min="11" max="11" width="6.109375" customWidth="1"/>
    <col min="12" max="12" width="6.109375" style="2" customWidth="1"/>
    <col min="13" max="13" width="5.5546875" customWidth="1"/>
    <col min="14" max="14" width="20.21875" customWidth="1"/>
    <col min="15" max="15" width="6.6640625" customWidth="1"/>
    <col min="16" max="16" width="7.77734375" customWidth="1"/>
    <col min="17" max="17" width="6.109375" customWidth="1"/>
    <col min="18" max="18" width="6.109375" style="2" customWidth="1"/>
    <col min="19" max="19" width="8.88671875" customWidth="1"/>
    <col min="20" max="20" width="7.33203125" bestFit="1" customWidth="1"/>
    <col min="21" max="21" width="7.109375" style="3" bestFit="1" customWidth="1"/>
    <col min="22" max="22" width="7.77734375" style="3" bestFit="1" customWidth="1"/>
  </cols>
  <sheetData>
    <row r="1" spans="2:22" ht="9.6" customHeight="1" x14ac:dyDescent="0.3">
      <c r="C1" s="1"/>
      <c r="D1" s="1"/>
      <c r="I1" s="1"/>
      <c r="J1" s="1"/>
      <c r="O1" s="1"/>
      <c r="P1" s="1"/>
    </row>
    <row r="2" spans="2:22" x14ac:dyDescent="0.3">
      <c r="B2" s="4" t="s">
        <v>0</v>
      </c>
      <c r="C2" s="1"/>
      <c r="D2" s="1"/>
      <c r="I2" s="1"/>
      <c r="J2" s="1"/>
      <c r="O2" s="1"/>
      <c r="P2" s="1"/>
    </row>
    <row r="3" spans="2:22" x14ac:dyDescent="0.3">
      <c r="C3" s="1"/>
      <c r="D3" s="1"/>
      <c r="I3" s="1"/>
      <c r="O3" s="1"/>
      <c r="P3" s="1"/>
    </row>
    <row r="4" spans="2:22" x14ac:dyDescent="0.3">
      <c r="B4" s="2" t="s">
        <v>8</v>
      </c>
      <c r="C4" s="19">
        <f>F4*0.85</f>
        <v>2.361111111111111E-2</v>
      </c>
      <c r="D4">
        <f>7.3</f>
        <v>7.3</v>
      </c>
      <c r="E4" s="15">
        <f>C4/D4</f>
        <v>3.2343987823439876E-3</v>
      </c>
      <c r="F4" s="7">
        <v>2.7777777777777776E-2</v>
      </c>
      <c r="H4" s="2" t="s">
        <v>11</v>
      </c>
      <c r="I4" s="19">
        <f>L4*0.85</f>
        <v>2.9513888888888888E-2</v>
      </c>
      <c r="J4">
        <v>9.1999999999999993</v>
      </c>
      <c r="K4" s="15">
        <f>I4/J4</f>
        <v>3.2080314009661839E-3</v>
      </c>
      <c r="L4" s="7">
        <v>3.4722222222222224E-2</v>
      </c>
      <c r="N4" s="2" t="s">
        <v>10</v>
      </c>
      <c r="O4" s="19">
        <f>R4*0.85</f>
        <v>1.7708333333333333E-2</v>
      </c>
      <c r="P4">
        <v>5.4</v>
      </c>
      <c r="Q4" s="15">
        <f>O4/P4</f>
        <v>3.2793209876543208E-3</v>
      </c>
      <c r="R4" s="7">
        <v>2.0833333333333332E-2</v>
      </c>
      <c r="T4" s="2" t="s">
        <v>1</v>
      </c>
      <c r="V4" s="20">
        <v>0.20138888888888887</v>
      </c>
    </row>
    <row r="5" spans="2:22" x14ac:dyDescent="0.3">
      <c r="B5" t="s">
        <v>52</v>
      </c>
      <c r="C5" s="9">
        <v>2.5138888888888891E-2</v>
      </c>
      <c r="D5" s="10">
        <f>(C5-C$4)/C$4</f>
        <v>6.4705882352941307E-2</v>
      </c>
      <c r="E5" s="11">
        <f>C5/D$4</f>
        <v>3.4436834094368346E-3</v>
      </c>
      <c r="F5" s="12">
        <f>E5/$K$10</f>
        <v>1.0732698273258847</v>
      </c>
      <c r="H5" t="s">
        <v>55</v>
      </c>
      <c r="I5" s="9">
        <v>3.4201388888888885E-2</v>
      </c>
      <c r="J5" s="10">
        <f>(I5-I$4)/I$4</f>
        <v>0.15882352941176461</v>
      </c>
      <c r="K5" s="11">
        <f>I5/J$4</f>
        <v>3.717542270531401E-3</v>
      </c>
      <c r="L5" s="12">
        <f>K5/$K$10</f>
        <v>1.158621591008103</v>
      </c>
      <c r="N5" t="s">
        <v>57</v>
      </c>
      <c r="O5" s="9">
        <v>1.8148148148148146E-2</v>
      </c>
      <c r="P5" s="10">
        <f>(O5-O$4)/O$4</f>
        <v>2.483660130718944E-2</v>
      </c>
      <c r="Q5" s="11">
        <f>O5/P$4</f>
        <v>3.3607681755829896E-3</v>
      </c>
      <c r="R5" s="12">
        <f>Q5/$K$10</f>
        <v>1.0474281897127584</v>
      </c>
      <c r="T5" t="s">
        <v>3</v>
      </c>
      <c r="U5" s="3">
        <v>0.19508101851851853</v>
      </c>
    </row>
    <row r="6" spans="2:22" x14ac:dyDescent="0.3">
      <c r="B6" t="s">
        <v>53</v>
      </c>
      <c r="C6" s="9">
        <v>2.6192129629629631E-2</v>
      </c>
      <c r="D6" s="10">
        <f t="shared" ref="D6:D7" si="0">(C6-C$4)/C$4</f>
        <v>0.10931372549019618</v>
      </c>
      <c r="E6" s="11">
        <f>C6/D$4</f>
        <v>3.5879629629629634E-3</v>
      </c>
      <c r="F6" s="12">
        <f t="shared" ref="F6:F7" si="1">E6/$K$10</f>
        <v>1.1182364729458918</v>
      </c>
      <c r="H6" t="s">
        <v>20</v>
      </c>
      <c r="I6" s="9">
        <v>3.577546296296296E-2</v>
      </c>
      <c r="J6" s="10">
        <f t="shared" ref="J6:J7" si="2">(I6-I$4)/I$4</f>
        <v>0.21215686274509798</v>
      </c>
      <c r="K6" s="11">
        <f>I6/J$4</f>
        <v>3.8886372785829309E-3</v>
      </c>
      <c r="L6" s="12">
        <f t="shared" ref="L6:L7" si="3">K6/$K$10</f>
        <v>1.2119456303912171</v>
      </c>
      <c r="N6" t="s">
        <v>24</v>
      </c>
      <c r="O6" s="22">
        <v>1.9050925925925926E-2</v>
      </c>
      <c r="P6" s="10">
        <f t="shared" ref="P6:P7" si="4">(O6-O$4)/O$4</f>
        <v>7.5816993464052324E-2</v>
      </c>
      <c r="Q6" s="11">
        <f>O6/P$4</f>
        <v>3.527949245541838E-3</v>
      </c>
      <c r="R6" s="12">
        <f t="shared" ref="R6:R7" si="5">Q6/$K$10</f>
        <v>1.0995323981295924</v>
      </c>
      <c r="T6" t="s">
        <v>45</v>
      </c>
      <c r="U6" s="3">
        <v>0.1975462962962963</v>
      </c>
      <c r="V6" s="14">
        <f>AVERAGE(U5:U9)</f>
        <v>0.20257175925925924</v>
      </c>
    </row>
    <row r="7" spans="2:22" x14ac:dyDescent="0.3">
      <c r="B7" t="s">
        <v>54</v>
      </c>
      <c r="C7" s="9">
        <v>2.6388888888888889E-2</v>
      </c>
      <c r="D7" s="10">
        <f t="shared" si="0"/>
        <v>0.11764705882352944</v>
      </c>
      <c r="E7" s="11">
        <f>C7/D$4</f>
        <v>3.6149162861491631E-3</v>
      </c>
      <c r="F7" s="12">
        <f t="shared" si="1"/>
        <v>1.1266368353144645</v>
      </c>
      <c r="H7" t="s">
        <v>56</v>
      </c>
      <c r="I7" s="9">
        <v>3.5902777777777777E-2</v>
      </c>
      <c r="J7" s="10">
        <f t="shared" si="2"/>
        <v>0.21647058823529411</v>
      </c>
      <c r="K7" s="11">
        <f>I7/J$4</f>
        <v>3.9024758454106281E-3</v>
      </c>
      <c r="L7" s="12">
        <f t="shared" si="3"/>
        <v>1.2162586041648513</v>
      </c>
      <c r="N7" t="s">
        <v>58</v>
      </c>
      <c r="O7" s="22">
        <v>1.954861111111111E-2</v>
      </c>
      <c r="P7" s="10">
        <f t="shared" si="4"/>
        <v>0.10392156862745097</v>
      </c>
      <c r="Q7" s="11">
        <f>O7/P$4</f>
        <v>3.6201131687242797E-3</v>
      </c>
      <c r="R7" s="12">
        <f t="shared" si="5"/>
        <v>1.1282565130260518</v>
      </c>
      <c r="T7" t="s">
        <v>4</v>
      </c>
      <c r="U7" s="3">
        <v>0.19832175925925924</v>
      </c>
      <c r="V7" s="3">
        <f>ABS(V6-V4)</f>
        <v>1.1828703703703758E-3</v>
      </c>
    </row>
    <row r="8" spans="2:22" x14ac:dyDescent="0.3">
      <c r="C8" s="1"/>
      <c r="D8" s="10"/>
      <c r="I8" s="1"/>
      <c r="J8" s="10"/>
      <c r="O8" s="1"/>
      <c r="P8" s="10"/>
      <c r="T8" t="s">
        <v>70</v>
      </c>
      <c r="U8" s="3">
        <v>0.2099074074074074</v>
      </c>
      <c r="V8" s="10">
        <f>(V6-V4)/V4</f>
        <v>5.8735632183908324E-3</v>
      </c>
    </row>
    <row r="9" spans="2:22" x14ac:dyDescent="0.3">
      <c r="C9" s="1"/>
      <c r="D9" s="1"/>
      <c r="H9" s="2" t="s">
        <v>9</v>
      </c>
      <c r="I9" s="19">
        <f>L9*0.85</f>
        <v>2.9513888888888888E-2</v>
      </c>
      <c r="J9" s="18">
        <v>9</v>
      </c>
      <c r="K9" s="15">
        <f>I9/J9</f>
        <v>3.2793209876543208E-3</v>
      </c>
      <c r="L9" s="7">
        <v>3.4722222222222224E-2</v>
      </c>
      <c r="O9" s="1"/>
      <c r="P9" s="1"/>
      <c r="T9" t="s">
        <v>2</v>
      </c>
      <c r="U9" s="3">
        <v>0.21200231481481482</v>
      </c>
    </row>
    <row r="10" spans="2:22" x14ac:dyDescent="0.3">
      <c r="B10" s="2"/>
      <c r="C10" s="6"/>
      <c r="D10" s="7"/>
      <c r="H10" t="s">
        <v>27</v>
      </c>
      <c r="I10" s="9">
        <v>2.8877314814814817E-2</v>
      </c>
      <c r="J10" s="10">
        <f>(I10-I$9)/I$9</f>
        <v>-2.1568627450980277E-2</v>
      </c>
      <c r="K10" s="11">
        <f>I10/J$9</f>
        <v>3.2085905349794244E-3</v>
      </c>
      <c r="L10" s="17">
        <f>K10/$K$10</f>
        <v>1</v>
      </c>
      <c r="N10" s="2"/>
      <c r="O10" s="6"/>
      <c r="P10" s="7"/>
      <c r="U10"/>
      <c r="V10"/>
    </row>
    <row r="11" spans="2:22" x14ac:dyDescent="0.3">
      <c r="C11" s="9"/>
      <c r="D11" s="7"/>
      <c r="E11" s="11"/>
      <c r="F11" s="12"/>
      <c r="H11" t="s">
        <v>59</v>
      </c>
      <c r="I11" s="9">
        <v>2.9664351851851855E-2</v>
      </c>
      <c r="J11" s="10">
        <f t="shared" ref="J11:J12" si="6">(I11-I$9)/I$9</f>
        <v>5.0980392156864058E-3</v>
      </c>
      <c r="K11" s="11">
        <f>I11/J$9</f>
        <v>3.2960390946502062E-3</v>
      </c>
      <c r="L11" s="12">
        <f>K11/$K$10</f>
        <v>1.0272545090180361</v>
      </c>
      <c r="O11" s="9"/>
      <c r="P11" s="7"/>
      <c r="Q11" s="11"/>
      <c r="R11" s="12"/>
      <c r="U11"/>
      <c r="V11"/>
    </row>
    <row r="12" spans="2:22" x14ac:dyDescent="0.3">
      <c r="C12" s="9"/>
      <c r="D12" s="7"/>
      <c r="E12" s="11"/>
      <c r="F12" s="12"/>
      <c r="H12" t="s">
        <v>26</v>
      </c>
      <c r="I12" s="9">
        <v>2.9675925925925925E-2</v>
      </c>
      <c r="J12" s="10">
        <f t="shared" si="6"/>
        <v>5.4901960784313692E-3</v>
      </c>
      <c r="K12" s="11">
        <f>I12/J$9</f>
        <v>3.2973251028806582E-3</v>
      </c>
      <c r="L12" s="12">
        <f t="shared" ref="L12" si="7">K12/$K$10</f>
        <v>1.0276553106212423</v>
      </c>
      <c r="O12" s="9"/>
      <c r="P12" s="7"/>
      <c r="Q12" s="11"/>
      <c r="R12" s="12"/>
      <c r="U12"/>
      <c r="V12"/>
    </row>
    <row r="13" spans="2:22" x14ac:dyDescent="0.3">
      <c r="C13" s="9"/>
      <c r="D13" s="7"/>
      <c r="E13" s="11"/>
      <c r="F13" s="12"/>
      <c r="K13" s="11"/>
      <c r="L13" s="12"/>
      <c r="O13" s="9"/>
      <c r="P13" s="7"/>
      <c r="Q13" s="11"/>
      <c r="R13" s="12"/>
      <c r="U13"/>
      <c r="V13"/>
    </row>
    <row r="14" spans="2:22" x14ac:dyDescent="0.3">
      <c r="C14" s="1"/>
      <c r="D14" s="10"/>
      <c r="I14" s="1"/>
      <c r="J14" s="10"/>
      <c r="O14" s="1"/>
      <c r="P14" s="10"/>
      <c r="U14"/>
      <c r="V14"/>
    </row>
    <row r="15" spans="2:22" x14ac:dyDescent="0.3">
      <c r="C15" s="1"/>
      <c r="I15" s="1"/>
      <c r="O15" s="1"/>
      <c r="T15" s="2" t="s">
        <v>1</v>
      </c>
      <c r="V15" s="20">
        <v>0.1111111111111111</v>
      </c>
    </row>
    <row r="16" spans="2:22" x14ac:dyDescent="0.3">
      <c r="B16" s="2" t="s">
        <v>50</v>
      </c>
      <c r="C16" s="19">
        <f>F16*0.85</f>
        <v>2.6562499999999999E-2</v>
      </c>
      <c r="D16">
        <v>6.4</v>
      </c>
      <c r="E16" s="15">
        <f>C16/D16</f>
        <v>4.150390625E-3</v>
      </c>
      <c r="F16" s="7">
        <v>3.125E-2</v>
      </c>
      <c r="H16" s="8" t="s">
        <v>51</v>
      </c>
      <c r="I16" s="19">
        <f>L16*0.85</f>
        <v>2.0659722222222222E-2</v>
      </c>
      <c r="J16">
        <v>4.7</v>
      </c>
      <c r="K16" s="15">
        <f>I16/J16</f>
        <v>4.3956855791962169E-3</v>
      </c>
      <c r="L16" s="7">
        <v>2.4305555555555556E-2</v>
      </c>
      <c r="T16" t="s">
        <v>2</v>
      </c>
      <c r="U16" s="3">
        <v>9.2291666666666661E-2</v>
      </c>
    </row>
    <row r="17" spans="2:22" x14ac:dyDescent="0.3">
      <c r="B17" t="s">
        <v>60</v>
      </c>
      <c r="C17" s="9">
        <v>2.3414351851851853E-2</v>
      </c>
      <c r="D17" s="10">
        <f>(C17-C$16)/C$16</f>
        <v>-0.11851851851851845</v>
      </c>
      <c r="E17" s="11">
        <f>C17/D$16</f>
        <v>3.658492476851852E-3</v>
      </c>
      <c r="F17" s="12">
        <f>E17/$K$10</f>
        <v>1.1402179358717435</v>
      </c>
      <c r="H17" t="s">
        <v>62</v>
      </c>
      <c r="I17" s="13">
        <v>1.8518518518518521E-2</v>
      </c>
      <c r="J17" s="10">
        <f>(I17-I$16)/I$16</f>
        <v>-0.10364145658263291</v>
      </c>
      <c r="K17" s="11">
        <f>I17/J$16</f>
        <v>3.940110323089047E-3</v>
      </c>
      <c r="L17" s="12">
        <f>K17/$K$10</f>
        <v>1.2279878906749668</v>
      </c>
      <c r="T17" t="s">
        <v>7</v>
      </c>
      <c r="U17" s="3">
        <v>9.2557870370370374E-2</v>
      </c>
      <c r="V17" s="14">
        <f>AVERAGE(U16:U20)</f>
        <v>9.6226851851851841E-2</v>
      </c>
    </row>
    <row r="18" spans="2:22" x14ac:dyDescent="0.3">
      <c r="B18" t="s">
        <v>32</v>
      </c>
      <c r="C18" s="9">
        <v>2.4004629629629629E-2</v>
      </c>
      <c r="D18" s="10">
        <f>(C18-C$16)/C$16</f>
        <v>-9.6296296296296283E-2</v>
      </c>
      <c r="E18" s="11">
        <f>C18/D$16</f>
        <v>3.7507233796296295E-3</v>
      </c>
      <c r="F18" s="12">
        <f t="shared" ref="F18:F19" si="8">E18/$K$10</f>
        <v>1.1689629258517031</v>
      </c>
      <c r="H18" t="s">
        <v>63</v>
      </c>
      <c r="I18" s="13">
        <v>1.8749999999999999E-2</v>
      </c>
      <c r="J18" s="10">
        <f>(I18-I$16)/I$16</f>
        <v>-9.2436974789915971E-2</v>
      </c>
      <c r="K18" s="11">
        <f>I18/J$16</f>
        <v>3.9893617021276593E-3</v>
      </c>
      <c r="L18" s="12">
        <f t="shared" ref="L18:L19" si="9">K18/$K$10</f>
        <v>1.2433377393084037</v>
      </c>
      <c r="T18" t="s">
        <v>44</v>
      </c>
      <c r="U18" s="3">
        <v>9.3437500000000007E-2</v>
      </c>
      <c r="V18" s="3">
        <f>ABS(V17-V15)</f>
        <v>1.4884259259259264E-2</v>
      </c>
    </row>
    <row r="19" spans="2:22" x14ac:dyDescent="0.3">
      <c r="B19" t="s">
        <v>61</v>
      </c>
      <c r="C19" s="9">
        <v>2.5104166666666664E-2</v>
      </c>
      <c r="D19" s="10">
        <f>(C19-C$16)/C$16</f>
        <v>-5.4901960784313822E-2</v>
      </c>
      <c r="E19" s="11">
        <f>C19/D$16</f>
        <v>3.9225260416666657E-3</v>
      </c>
      <c r="F19" s="12">
        <f t="shared" si="8"/>
        <v>1.2225075150300597</v>
      </c>
      <c r="H19" t="s">
        <v>35</v>
      </c>
      <c r="I19" s="13">
        <v>1.9467592592592595E-2</v>
      </c>
      <c r="J19" s="10">
        <f>(I19-I$16)/I$16</f>
        <v>-5.7703081232492841E-2</v>
      </c>
      <c r="K19" s="11">
        <f>I19/J$16</f>
        <v>4.1420409771473609E-3</v>
      </c>
      <c r="L19" s="12">
        <f t="shared" si="9"/>
        <v>1.2909222700720591</v>
      </c>
      <c r="T19" t="s">
        <v>2</v>
      </c>
      <c r="U19" s="3">
        <v>9.9212962962962961E-2</v>
      </c>
      <c r="V19" s="10">
        <f>(V17-V15)/V15</f>
        <v>-0.13395833333333337</v>
      </c>
    </row>
    <row r="20" spans="2:22" x14ac:dyDescent="0.3">
      <c r="C20" s="1"/>
      <c r="D20" s="10"/>
      <c r="I20" s="1"/>
      <c r="J20" s="10"/>
      <c r="O20" s="1"/>
      <c r="P20" s="10"/>
      <c r="T20" t="s">
        <v>71</v>
      </c>
      <c r="U20" s="3">
        <v>0.10363425925925925</v>
      </c>
    </row>
    <row r="21" spans="2:22" x14ac:dyDescent="0.3">
      <c r="C21" s="1"/>
      <c r="D21" s="1"/>
      <c r="I21" s="1"/>
      <c r="J21" s="1"/>
      <c r="O21" s="1"/>
      <c r="P21" s="1"/>
    </row>
    <row r="22" spans="2:22" x14ac:dyDescent="0.3">
      <c r="C22" s="1"/>
      <c r="I22" s="1"/>
      <c r="J22" s="1"/>
      <c r="O22" s="1"/>
      <c r="P22" s="1"/>
    </row>
    <row r="23" spans="2:22" x14ac:dyDescent="0.3">
      <c r="B23" s="2" t="s">
        <v>15</v>
      </c>
      <c r="C23" s="19">
        <f>F23*0.85</f>
        <v>1.7708333333333333E-2</v>
      </c>
      <c r="D23">
        <v>5.0999999999999996</v>
      </c>
      <c r="E23" s="15">
        <f>C23/D23</f>
        <v>3.4722222222222225E-3</v>
      </c>
      <c r="F23" s="7">
        <v>2.0833333333333332E-2</v>
      </c>
      <c r="H23" s="2" t="s">
        <v>16</v>
      </c>
      <c r="I23" s="19">
        <f>L23*0.85</f>
        <v>1.7708333333333333E-2</v>
      </c>
      <c r="J23">
        <v>4.0999999999999996</v>
      </c>
      <c r="K23" s="15">
        <f>I23/J23</f>
        <v>4.3191056910569106E-3</v>
      </c>
      <c r="L23" s="7">
        <v>2.0833333333333332E-2</v>
      </c>
      <c r="O23" s="1"/>
      <c r="P23" s="1"/>
      <c r="T23" s="2" t="s">
        <v>1</v>
      </c>
      <c r="V23" s="20">
        <v>8.3333333333333329E-2</v>
      </c>
    </row>
    <row r="24" spans="2:22" x14ac:dyDescent="0.3">
      <c r="B24" t="s">
        <v>64</v>
      </c>
      <c r="C24" s="9">
        <v>1.8449074074074073E-2</v>
      </c>
      <c r="D24" s="10">
        <f>(C24-C$23)/C$23</f>
        <v>4.1830065359477066E-2</v>
      </c>
      <c r="E24" s="11">
        <f>C24/D$23</f>
        <v>3.6174655047204068E-3</v>
      </c>
      <c r="F24" s="12">
        <f>E24/$K$10</f>
        <v>1.1274313332547445</v>
      </c>
      <c r="H24" t="s">
        <v>67</v>
      </c>
      <c r="I24" s="9">
        <v>1.5347222222222222E-2</v>
      </c>
      <c r="J24" s="10">
        <f>(I24-I$23)/I$23</f>
        <v>-0.1333333333333333</v>
      </c>
      <c r="K24" s="11">
        <f>I24/J$23</f>
        <v>3.7432249322493227E-3</v>
      </c>
      <c r="L24" s="12">
        <f>K24/$K$10</f>
        <v>1.1666259347964221</v>
      </c>
      <c r="O24" s="1"/>
      <c r="P24" s="1"/>
      <c r="T24" t="s">
        <v>72</v>
      </c>
      <c r="U24" s="3">
        <v>7.5474537037037034E-2</v>
      </c>
    </row>
    <row r="25" spans="2:22" x14ac:dyDescent="0.3">
      <c r="B25" t="s">
        <v>65</v>
      </c>
      <c r="C25" s="9">
        <v>1.9305555555555555E-2</v>
      </c>
      <c r="D25" s="10">
        <f t="shared" ref="D25:D26" si="10">(C25-C$23)/C$23</f>
        <v>9.0196078431372548E-2</v>
      </c>
      <c r="E25" s="11">
        <f>C25/D$23</f>
        <v>3.7854030501089327E-3</v>
      </c>
      <c r="F25" s="12">
        <f t="shared" ref="F25:F26" si="11">E25/$K$10</f>
        <v>1.1797713073205234</v>
      </c>
      <c r="H25" t="s">
        <v>68</v>
      </c>
      <c r="I25" s="9">
        <v>1.5578703703703704E-2</v>
      </c>
      <c r="J25" s="10">
        <f t="shared" ref="J25:J26" si="12">(I25-I$23)/I$23</f>
        <v>-0.12026143790849669</v>
      </c>
      <c r="K25" s="11">
        <f>I25/J$23</f>
        <v>3.7996838301716353E-3</v>
      </c>
      <c r="L25" s="12">
        <f t="shared" ref="L25:L26" si="13">K25/$K$10</f>
        <v>1.1842221027420694</v>
      </c>
      <c r="O25" s="1"/>
      <c r="P25" s="1"/>
      <c r="T25" t="s">
        <v>73</v>
      </c>
      <c r="U25" s="3">
        <v>7.5960648148148138E-2</v>
      </c>
      <c r="V25" s="14">
        <f>AVERAGE(U24:U28)</f>
        <v>7.7002314814814815E-2</v>
      </c>
    </row>
    <row r="26" spans="2:22" x14ac:dyDescent="0.3">
      <c r="B26" t="s">
        <v>66</v>
      </c>
      <c r="C26" s="9">
        <v>1.9351851851851853E-2</v>
      </c>
      <c r="D26" s="10">
        <f t="shared" si="10"/>
        <v>9.2810457516339942E-2</v>
      </c>
      <c r="E26" s="11">
        <f>C26/D$23</f>
        <v>3.7944807552650695E-3</v>
      </c>
      <c r="F26" s="12">
        <f t="shared" si="11"/>
        <v>1.1826004951078628</v>
      </c>
      <c r="H26" t="s">
        <v>69</v>
      </c>
      <c r="I26" s="9">
        <v>1.5925925925925927E-2</v>
      </c>
      <c r="J26" s="10">
        <f t="shared" si="12"/>
        <v>-0.10065359477124176</v>
      </c>
      <c r="K26" s="11">
        <f>I26/J$23</f>
        <v>3.8843721770551046E-3</v>
      </c>
      <c r="L26" s="12">
        <f t="shared" si="13"/>
        <v>1.2106163546605406</v>
      </c>
      <c r="O26" s="1"/>
      <c r="P26" s="1"/>
      <c r="T26" t="s">
        <v>74</v>
      </c>
      <c r="U26" s="3">
        <v>7.6238425925925932E-2</v>
      </c>
      <c r="V26" s="3">
        <f>ABS(V25-V23)</f>
        <v>6.3310185185185136E-3</v>
      </c>
    </row>
    <row r="27" spans="2:22" x14ac:dyDescent="0.3">
      <c r="T27" t="s">
        <v>48</v>
      </c>
      <c r="U27" s="3">
        <v>7.7499999999999999E-2</v>
      </c>
      <c r="V27" s="10">
        <f>(V25-V23)/V23</f>
        <v>-7.5972222222222163E-2</v>
      </c>
    </row>
    <row r="28" spans="2:22" x14ac:dyDescent="0.3">
      <c r="T28" t="s">
        <v>75</v>
      </c>
      <c r="U28" s="3">
        <v>7.9837962962962958E-2</v>
      </c>
    </row>
  </sheetData>
  <conditionalFormatting sqref="D5:D7 J5:J7 P5:P7 J10:J12 D17:D19 J17:J19 D24:D26 J24:J26">
    <cfRule type="cellIs" dxfId="101" priority="19" operator="greaterThanOrEqual">
      <formula>0.25</formula>
    </cfRule>
    <cfRule type="cellIs" dxfId="100" priority="20" operator="between">
      <formula>0.15</formula>
      <formula>0.25</formula>
    </cfRule>
    <cfRule type="cellIs" dxfId="99" priority="21" operator="between">
      <formula>0.05</formula>
      <formula>0.15</formula>
    </cfRule>
    <cfRule type="cellIs" dxfId="98" priority="22" operator="between">
      <formula>-0.05</formula>
      <formula>0.05</formula>
    </cfRule>
    <cfRule type="cellIs" dxfId="97" priority="23" operator="between">
      <formula>-0.15</formula>
      <formula>-0.05</formula>
    </cfRule>
    <cfRule type="cellIs" dxfId="96" priority="24" operator="lessThanOrEqual">
      <formula>-0.15</formula>
    </cfRule>
  </conditionalFormatting>
  <conditionalFormatting sqref="V8">
    <cfRule type="cellIs" dxfId="95" priority="13" operator="greaterThanOrEqual">
      <formula>0.25</formula>
    </cfRule>
    <cfRule type="cellIs" dxfId="94" priority="14" operator="between">
      <formula>0.15</formula>
      <formula>0.25</formula>
    </cfRule>
    <cfRule type="cellIs" dxfId="93" priority="15" operator="between">
      <formula>0.05</formula>
      <formula>0.15</formula>
    </cfRule>
    <cfRule type="cellIs" dxfId="92" priority="16" operator="between">
      <formula>-0.05</formula>
      <formula>0.05</formula>
    </cfRule>
    <cfRule type="cellIs" dxfId="91" priority="17" operator="between">
      <formula>-0.15</formula>
      <formula>-0.05</formula>
    </cfRule>
    <cfRule type="cellIs" dxfId="90" priority="18" operator="lessThanOrEqual">
      <formula>-0.15</formula>
    </cfRule>
  </conditionalFormatting>
  <conditionalFormatting sqref="V19">
    <cfRule type="cellIs" dxfId="89" priority="7" operator="greaterThanOrEqual">
      <formula>0.25</formula>
    </cfRule>
    <cfRule type="cellIs" dxfId="88" priority="8" operator="between">
      <formula>0.15</formula>
      <formula>0.25</formula>
    </cfRule>
    <cfRule type="cellIs" dxfId="87" priority="9" operator="between">
      <formula>0.05</formula>
      <formula>0.15</formula>
    </cfRule>
    <cfRule type="cellIs" dxfId="86" priority="10" operator="between">
      <formula>-0.05</formula>
      <formula>0.05</formula>
    </cfRule>
    <cfRule type="cellIs" dxfId="85" priority="11" operator="between">
      <formula>-0.15</formula>
      <formula>-0.05</formula>
    </cfRule>
    <cfRule type="cellIs" dxfId="84" priority="12" operator="lessThanOrEqual">
      <formula>-0.15</formula>
    </cfRule>
  </conditionalFormatting>
  <conditionalFormatting sqref="V27">
    <cfRule type="cellIs" dxfId="83" priority="1" operator="greaterThanOrEqual">
      <formula>0.25</formula>
    </cfRule>
    <cfRule type="cellIs" dxfId="82" priority="2" operator="between">
      <formula>0.15</formula>
      <formula>0.25</formula>
    </cfRule>
    <cfRule type="cellIs" dxfId="81" priority="3" operator="between">
      <formula>0.05</formula>
      <formula>0.15</formula>
    </cfRule>
    <cfRule type="cellIs" dxfId="80" priority="4" operator="between">
      <formula>-0.05</formula>
      <formula>0.05</formula>
    </cfRule>
    <cfRule type="cellIs" dxfId="79" priority="5" operator="between">
      <formula>-0.15</formula>
      <formula>-0.05</formula>
    </cfRule>
    <cfRule type="cellIs" dxfId="78" priority="6" operator="lessThanOrEqual">
      <formula>-0.15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E7BE3-91D4-4CF6-95B0-01FA1B7782D2}">
  <dimension ref="B1:V28"/>
  <sheetViews>
    <sheetView workbookViewId="0">
      <selection activeCell="T24" sqref="T24"/>
    </sheetView>
  </sheetViews>
  <sheetFormatPr baseColWidth="10" defaultRowHeight="14.4" x14ac:dyDescent="0.3"/>
  <cols>
    <col min="1" max="1" width="1.6640625" customWidth="1"/>
    <col min="2" max="2" width="20.21875" customWidth="1"/>
    <col min="3" max="3" width="6.6640625" customWidth="1"/>
    <col min="4" max="4" width="7.77734375" customWidth="1"/>
    <col min="5" max="5" width="6.109375" customWidth="1"/>
    <col min="6" max="6" width="6.109375" style="2" customWidth="1"/>
    <col min="7" max="7" width="5.5546875" customWidth="1"/>
    <col min="8" max="8" width="20.21875" customWidth="1"/>
    <col min="9" max="9" width="6.6640625" customWidth="1"/>
    <col min="10" max="10" width="7.77734375" customWidth="1"/>
    <col min="11" max="11" width="6.109375" customWidth="1"/>
    <col min="12" max="12" width="6.109375" style="2" customWidth="1"/>
    <col min="13" max="13" width="5.5546875" customWidth="1"/>
    <col min="14" max="14" width="20.21875" customWidth="1"/>
    <col min="15" max="15" width="6.6640625" customWidth="1"/>
    <col min="16" max="16" width="7.77734375" customWidth="1"/>
    <col min="17" max="17" width="6.109375" customWidth="1"/>
    <col min="18" max="18" width="6.109375" style="2" customWidth="1"/>
    <col min="19" max="19" width="8.88671875" customWidth="1"/>
    <col min="20" max="20" width="7.33203125" bestFit="1" customWidth="1"/>
    <col min="21" max="21" width="7.109375" style="3" bestFit="1" customWidth="1"/>
    <col min="22" max="22" width="7.77734375" style="3" bestFit="1" customWidth="1"/>
  </cols>
  <sheetData>
    <row r="1" spans="2:22" ht="9.6" customHeight="1" x14ac:dyDescent="0.3">
      <c r="C1" s="1"/>
      <c r="D1" s="1"/>
      <c r="I1" s="1"/>
      <c r="J1" s="1"/>
      <c r="O1" s="1"/>
      <c r="P1" s="1"/>
    </row>
    <row r="2" spans="2:22" x14ac:dyDescent="0.3">
      <c r="B2" s="4" t="s">
        <v>0</v>
      </c>
      <c r="C2" s="1"/>
      <c r="D2" s="1"/>
      <c r="I2" s="1"/>
      <c r="J2" s="1"/>
      <c r="O2" s="1"/>
      <c r="Q2" s="21" t="s">
        <v>76</v>
      </c>
    </row>
    <row r="3" spans="2:22" x14ac:dyDescent="0.3">
      <c r="C3" s="1"/>
      <c r="D3" s="1"/>
      <c r="I3" s="1"/>
      <c r="O3" s="5"/>
      <c r="P3" s="1"/>
    </row>
    <row r="4" spans="2:22" x14ac:dyDescent="0.3">
      <c r="B4" s="2" t="s">
        <v>8</v>
      </c>
      <c r="C4" s="19">
        <f>F4*0.85</f>
        <v>2.361111111111111E-2</v>
      </c>
      <c r="D4">
        <f>5.6+100*0.01</f>
        <v>6.6</v>
      </c>
      <c r="E4" s="15">
        <f>C4/D4</f>
        <v>3.5774410774410776E-3</v>
      </c>
      <c r="F4" s="7">
        <v>2.7777777777777776E-2</v>
      </c>
      <c r="H4" s="2" t="s">
        <v>11</v>
      </c>
      <c r="I4" s="19">
        <f>L4*0.85</f>
        <v>2.9513888888888888E-2</v>
      </c>
      <c r="J4">
        <f>6.6+180*0.01</f>
        <v>8.4</v>
      </c>
      <c r="K4" s="15">
        <f>I4/J4</f>
        <v>3.5135582010582009E-3</v>
      </c>
      <c r="L4" s="7">
        <v>3.4722222222222224E-2</v>
      </c>
      <c r="N4" s="2" t="s">
        <v>10</v>
      </c>
      <c r="O4" s="19">
        <f>R4*0.85</f>
        <v>1.7708333333333333E-2</v>
      </c>
      <c r="P4">
        <f>3.7+85*0.01</f>
        <v>4.55</v>
      </c>
      <c r="Q4" s="15">
        <f>O4/P4</f>
        <v>3.891941391941392E-3</v>
      </c>
      <c r="R4" s="7">
        <v>2.0833333333333332E-2</v>
      </c>
      <c r="T4" s="2" t="s">
        <v>1</v>
      </c>
      <c r="V4" s="20">
        <v>0.20138888888888887</v>
      </c>
    </row>
    <row r="5" spans="2:22" x14ac:dyDescent="0.3">
      <c r="B5" t="s">
        <v>17</v>
      </c>
      <c r="C5" s="9">
        <v>2.3761574074074074E-2</v>
      </c>
      <c r="D5" s="10">
        <f>(C5-C$4)/C$4</f>
        <v>6.3725490196078595E-3</v>
      </c>
      <c r="E5" s="11">
        <f>C5/D$4</f>
        <v>3.6002384960718294E-3</v>
      </c>
      <c r="F5" s="12">
        <f>E5/$K$10</f>
        <v>1.3806867631932906</v>
      </c>
      <c r="H5" t="s">
        <v>20</v>
      </c>
      <c r="I5" s="9">
        <v>2.7847222222222221E-2</v>
      </c>
      <c r="J5" s="10">
        <f>(I5-I$4)/I$4</f>
        <v>-5.6470588235294134E-2</v>
      </c>
      <c r="K5" s="11">
        <f>I5/J$4</f>
        <v>3.3151455026455023E-3</v>
      </c>
      <c r="L5" s="12">
        <f>K5/$K$10</f>
        <v>1.2713539723983587</v>
      </c>
      <c r="N5" t="s">
        <v>23</v>
      </c>
      <c r="O5" s="13">
        <v>1.3946759259259258E-2</v>
      </c>
      <c r="P5" s="10">
        <f>(O5-O$4)/O$4</f>
        <v>-0.21241830065359485</v>
      </c>
      <c r="Q5" s="11">
        <f>O5/P$4</f>
        <v>3.0652218152218149E-3</v>
      </c>
      <c r="R5" s="12">
        <f>Q5/$K$10</f>
        <v>1.175508564542507</v>
      </c>
      <c r="T5" t="s">
        <v>3</v>
      </c>
      <c r="U5" s="3">
        <v>0.1625810185185185</v>
      </c>
    </row>
    <row r="6" spans="2:22" x14ac:dyDescent="0.3">
      <c r="B6" t="s">
        <v>18</v>
      </c>
      <c r="C6" s="9">
        <v>2.4120370370370372E-2</v>
      </c>
      <c r="D6" s="10">
        <f t="shared" ref="D6:D7" si="0">(C6-C$4)/C$4</f>
        <v>2.1568627450980482E-2</v>
      </c>
      <c r="E6" s="11">
        <f>C6/D$4</f>
        <v>3.6546015712682384E-3</v>
      </c>
      <c r="F6" s="12">
        <f t="shared" ref="F6:F7" si="1">E6/$K$10</f>
        <v>1.4015349315610415</v>
      </c>
      <c r="H6" t="s">
        <v>21</v>
      </c>
      <c r="I6" s="9">
        <v>2.8344907407407412E-2</v>
      </c>
      <c r="J6" s="10">
        <f t="shared" ref="J6:J7" si="2">(I6-I$4)/I$4</f>
        <v>-3.9607843137254704E-2</v>
      </c>
      <c r="K6" s="11">
        <f>I6/J$4</f>
        <v>3.3743937389770729E-3</v>
      </c>
      <c r="L6" s="12">
        <f t="shared" ref="L6:L7" si="3">K6/$K$10</f>
        <v>1.294075593683949</v>
      </c>
      <c r="N6" t="s">
        <v>24</v>
      </c>
      <c r="O6" s="13">
        <v>1.4143518518518519E-2</v>
      </c>
      <c r="P6" s="10">
        <f t="shared" ref="P6:P7" si="4">(O6-O$4)/O$4</f>
        <v>-0.20130718954248361</v>
      </c>
      <c r="Q6" s="11">
        <f>O6/P$4</f>
        <v>3.1084656084656086E-3</v>
      </c>
      <c r="R6" s="12">
        <f t="shared" ref="R6:R7" si="5">Q6/$K$10</f>
        <v>1.1920925027974636</v>
      </c>
      <c r="T6" t="s">
        <v>44</v>
      </c>
      <c r="U6" s="3">
        <v>0.1738888888888889</v>
      </c>
      <c r="V6" s="14">
        <f>AVERAGE(U5:U9)</f>
        <v>0.18129166666666666</v>
      </c>
    </row>
    <row r="7" spans="2:22" x14ac:dyDescent="0.3">
      <c r="B7" t="s">
        <v>19</v>
      </c>
      <c r="C7" s="9">
        <v>2.4861111111111108E-2</v>
      </c>
      <c r="D7" s="10">
        <f t="shared" si="0"/>
        <v>5.2941176470588137E-2</v>
      </c>
      <c r="E7" s="11">
        <f>C7/D$4</f>
        <v>3.7668350168350165E-3</v>
      </c>
      <c r="F7" s="12">
        <f t="shared" si="1"/>
        <v>1.4445763114170425</v>
      </c>
      <c r="H7" t="s">
        <v>22</v>
      </c>
      <c r="I7" s="9">
        <v>2.8518518518518523E-2</v>
      </c>
      <c r="J7" s="10">
        <f t="shared" si="2"/>
        <v>-3.3725490196078255E-2</v>
      </c>
      <c r="K7" s="11">
        <f>I7/J$4</f>
        <v>3.3950617283950621E-3</v>
      </c>
      <c r="L7" s="12">
        <f t="shared" si="3"/>
        <v>1.3020017406440385</v>
      </c>
      <c r="N7" t="s">
        <v>25</v>
      </c>
      <c r="O7" s="13">
        <v>1.4374999999999999E-2</v>
      </c>
      <c r="P7" s="10">
        <f t="shared" si="4"/>
        <v>-0.18823529411764711</v>
      </c>
      <c r="Q7" s="11">
        <f>O7/P$4</f>
        <v>3.1593406593406594E-3</v>
      </c>
      <c r="R7" s="12">
        <f t="shared" si="5"/>
        <v>1.2116030183915301</v>
      </c>
      <c r="T7" t="s">
        <v>2</v>
      </c>
      <c r="U7" s="3">
        <v>0.17457175925925927</v>
      </c>
      <c r="V7" s="3">
        <f>ABS(V6-V4)</f>
        <v>2.0097222222222211E-2</v>
      </c>
    </row>
    <row r="8" spans="2:22" x14ac:dyDescent="0.3">
      <c r="C8" s="1"/>
      <c r="D8" s="10"/>
      <c r="I8" s="1"/>
      <c r="J8" s="10"/>
      <c r="O8" s="1"/>
      <c r="P8" s="10"/>
      <c r="T8" t="s">
        <v>3</v>
      </c>
      <c r="U8" s="3">
        <v>0.19633101851851853</v>
      </c>
      <c r="V8" s="10">
        <f>(V6-V4)/V4</f>
        <v>-9.9793103448275813E-2</v>
      </c>
    </row>
    <row r="9" spans="2:22" x14ac:dyDescent="0.3">
      <c r="C9" s="1"/>
      <c r="D9" s="1"/>
      <c r="H9" s="2" t="s">
        <v>9</v>
      </c>
      <c r="I9" s="19">
        <f>L9*0.85</f>
        <v>2.9513888888888888E-2</v>
      </c>
      <c r="J9">
        <f>6.6+190*0.01</f>
        <v>8.5</v>
      </c>
      <c r="K9" s="15">
        <f>I9/J9</f>
        <v>3.472222222222222E-3</v>
      </c>
      <c r="L9" s="7">
        <v>3.4722222222222224E-2</v>
      </c>
      <c r="O9" s="1"/>
      <c r="P9" s="1"/>
      <c r="T9" t="s">
        <v>5</v>
      </c>
      <c r="U9" s="3">
        <v>0.19908564814814814</v>
      </c>
    </row>
    <row r="10" spans="2:22" x14ac:dyDescent="0.3">
      <c r="B10" s="2"/>
      <c r="C10" s="6"/>
      <c r="D10" s="7"/>
      <c r="H10" t="s">
        <v>26</v>
      </c>
      <c r="I10" s="9">
        <v>2.2164351851851852E-2</v>
      </c>
      <c r="J10" s="10">
        <f>(I10-I$9)/I$9</f>
        <v>-0.24901960784313723</v>
      </c>
      <c r="K10" s="11">
        <f>I10/J$9</f>
        <v>2.6075708061002179E-3</v>
      </c>
      <c r="L10" s="17">
        <f>K10/$K$10</f>
        <v>1</v>
      </c>
      <c r="N10" s="2"/>
      <c r="O10" s="6"/>
      <c r="P10" s="7"/>
      <c r="T10" s="16" t="s">
        <v>49</v>
      </c>
      <c r="U10"/>
      <c r="V10"/>
    </row>
    <row r="11" spans="2:22" x14ac:dyDescent="0.3">
      <c r="C11" s="9"/>
      <c r="D11" s="7"/>
      <c r="E11" s="11"/>
      <c r="F11" s="12"/>
      <c r="H11" t="s">
        <v>27</v>
      </c>
      <c r="I11" s="9">
        <v>2.4074074074074071E-2</v>
      </c>
      <c r="J11" s="10">
        <f t="shared" ref="J11:J12" si="6">(I11-I$9)/I$9</f>
        <v>-0.18431372549019617</v>
      </c>
      <c r="K11" s="11">
        <f>I11/J$9</f>
        <v>2.8322440087145966E-3</v>
      </c>
      <c r="L11" s="12">
        <f>K11/$K$10</f>
        <v>1.0861618798955612</v>
      </c>
      <c r="O11" s="9"/>
      <c r="P11" s="7"/>
      <c r="Q11" s="11"/>
      <c r="R11" s="12"/>
      <c r="U11"/>
      <c r="V11"/>
    </row>
    <row r="12" spans="2:22" x14ac:dyDescent="0.3">
      <c r="C12" s="9"/>
      <c r="D12" s="7"/>
      <c r="E12" s="11"/>
      <c r="F12" s="12"/>
      <c r="H12" t="s">
        <v>28</v>
      </c>
      <c r="I12" s="9">
        <v>2.4606481481481479E-2</v>
      </c>
      <c r="J12" s="10">
        <f t="shared" si="6"/>
        <v>-0.16627450980392164</v>
      </c>
      <c r="K12" s="11">
        <f>I12/J$9</f>
        <v>2.8948801742919388E-3</v>
      </c>
      <c r="L12" s="12">
        <f t="shared" ref="L12" si="7">K12/$K$10</f>
        <v>1.1101827676240208</v>
      </c>
      <c r="O12" s="9"/>
      <c r="P12" s="7"/>
      <c r="Q12" s="11"/>
      <c r="R12" s="12"/>
      <c r="U12"/>
      <c r="V12"/>
    </row>
    <row r="13" spans="2:22" x14ac:dyDescent="0.3">
      <c r="C13" s="9"/>
      <c r="D13" s="7"/>
      <c r="E13" s="11"/>
      <c r="F13" s="12"/>
      <c r="K13" s="11"/>
      <c r="L13" s="12"/>
      <c r="O13" s="9"/>
      <c r="P13" s="7"/>
      <c r="Q13" s="11"/>
      <c r="R13" s="12"/>
      <c r="U13"/>
      <c r="V13"/>
    </row>
    <row r="14" spans="2:22" x14ac:dyDescent="0.3">
      <c r="C14" s="1"/>
      <c r="D14" s="10"/>
      <c r="I14" s="1"/>
      <c r="J14" s="10"/>
      <c r="O14" s="1"/>
      <c r="P14" s="10"/>
      <c r="U14"/>
      <c r="V14"/>
    </row>
    <row r="15" spans="2:22" x14ac:dyDescent="0.3">
      <c r="C15" s="1"/>
      <c r="I15" s="1"/>
      <c r="O15" s="1"/>
      <c r="T15" s="2" t="s">
        <v>1</v>
      </c>
      <c r="V15" s="20">
        <v>0.11805555555555557</v>
      </c>
    </row>
    <row r="16" spans="2:22" x14ac:dyDescent="0.3">
      <c r="B16" s="2" t="s">
        <v>12</v>
      </c>
      <c r="C16" s="19">
        <f>F16*0.85</f>
        <v>1.7708333333333333E-2</v>
      </c>
      <c r="D16">
        <f>4+70*0.01</f>
        <v>4.7</v>
      </c>
      <c r="E16" s="15">
        <f>C16/D16</f>
        <v>3.7677304964539005E-3</v>
      </c>
      <c r="F16" s="7">
        <v>2.0833333333333332E-2</v>
      </c>
      <c r="H16" s="2" t="s">
        <v>13</v>
      </c>
      <c r="I16" s="19">
        <f>L16*0.85</f>
        <v>2.361111111111111E-2</v>
      </c>
      <c r="J16">
        <f>4.6+80*0.01</f>
        <v>5.3999999999999995</v>
      </c>
      <c r="K16" s="15">
        <f>I16/J16</f>
        <v>4.3724279835390947E-3</v>
      </c>
      <c r="L16" s="7">
        <v>2.7777777777777776E-2</v>
      </c>
      <c r="N16" s="8" t="s">
        <v>14</v>
      </c>
      <c r="O16" s="19">
        <f>R16*0.85</f>
        <v>1.7708333333333333E-2</v>
      </c>
      <c r="P16">
        <f>4+70*0.01</f>
        <v>4.7</v>
      </c>
      <c r="Q16" s="15">
        <f>O16/P16</f>
        <v>3.7677304964539005E-3</v>
      </c>
      <c r="R16" s="7">
        <v>2.0833333333333332E-2</v>
      </c>
      <c r="T16" t="s">
        <v>2</v>
      </c>
      <c r="U16" s="3">
        <v>0.11363425925925925</v>
      </c>
    </row>
    <row r="17" spans="2:22" x14ac:dyDescent="0.3">
      <c r="B17" t="s">
        <v>29</v>
      </c>
      <c r="C17" s="9">
        <v>2.1909722222222223E-2</v>
      </c>
      <c r="D17" s="10">
        <f>(C17-C$16)/C$16</f>
        <v>0.23725490196078439</v>
      </c>
      <c r="E17" s="11">
        <f>C17/D$16</f>
        <v>4.6616430260047279E-3</v>
      </c>
      <c r="F17" s="12">
        <f>E17/$K$10</f>
        <v>1.7877340147769567</v>
      </c>
      <c r="H17" t="s">
        <v>32</v>
      </c>
      <c r="I17" s="9">
        <v>1.8414351851851852E-2</v>
      </c>
      <c r="J17" s="10">
        <f>(I17-I$16)/I$16</f>
        <v>-0.22009803921568624</v>
      </c>
      <c r="K17" s="11">
        <f>I17/J$16</f>
        <v>3.4100651577503435E-3</v>
      </c>
      <c r="L17" s="12">
        <f>K17/$K$10</f>
        <v>1.3077555362150663</v>
      </c>
      <c r="N17" t="s">
        <v>35</v>
      </c>
      <c r="O17" s="13">
        <v>1.894675925925926E-2</v>
      </c>
      <c r="P17" s="10">
        <f>(O17-O$16)/O$16</f>
        <v>6.9934640522875915E-2</v>
      </c>
      <c r="Q17" s="11">
        <f>O17/P$16</f>
        <v>4.0312253743104804E-3</v>
      </c>
      <c r="R17" s="12">
        <f>Q17/$K$10</f>
        <v>1.5459696683517581</v>
      </c>
      <c r="T17" t="s">
        <v>44</v>
      </c>
      <c r="U17" s="3">
        <v>0.11497685185185186</v>
      </c>
      <c r="V17" s="14">
        <f>AVERAGE(U16:U20)</f>
        <v>0.1180300925925926</v>
      </c>
    </row>
    <row r="18" spans="2:22" x14ac:dyDescent="0.3">
      <c r="B18" t="s">
        <v>30</v>
      </c>
      <c r="C18" s="9">
        <v>2.2060185185185183E-2</v>
      </c>
      <c r="D18" s="10">
        <f t="shared" ref="D18:D19" si="8">(C18-C$16)/C$16</f>
        <v>0.24575163398692801</v>
      </c>
      <c r="E18" s="11">
        <f>C18/D$16</f>
        <v>4.6936564223798256E-3</v>
      </c>
      <c r="F18" s="12">
        <f t="shared" ref="F18:F19" si="9">E18/$K$10</f>
        <v>1.800011110493861</v>
      </c>
      <c r="H18" t="s">
        <v>33</v>
      </c>
      <c r="I18" s="9">
        <v>2.0555555555555556E-2</v>
      </c>
      <c r="J18" s="10">
        <f t="shared" ref="J18:J19" si="10">(I18-I$16)/I$16</f>
        <v>-0.12941176470588231</v>
      </c>
      <c r="K18" s="11">
        <f>I18/J$16</f>
        <v>3.8065843621399183E-3</v>
      </c>
      <c r="L18" s="12">
        <f t="shared" ref="L18:L19" si="11">K18/$K$10</f>
        <v>1.4598201334493766</v>
      </c>
      <c r="N18" t="s">
        <v>36</v>
      </c>
      <c r="O18" s="13">
        <v>1.9421296296296294E-2</v>
      </c>
      <c r="P18" s="10">
        <f t="shared" ref="P18:P19" si="12">(O18-O$16)/O$16</f>
        <v>9.6732026143790756E-2</v>
      </c>
      <c r="Q18" s="11">
        <f>O18/P$16</f>
        <v>4.1321907013396365E-3</v>
      </c>
      <c r="R18" s="12">
        <f t="shared" ref="R18:R19" si="13">Q18/$K$10</f>
        <v>1.5846897394589186</v>
      </c>
      <c r="T18" t="s">
        <v>3</v>
      </c>
      <c r="U18" s="3">
        <v>0.11913194444444446</v>
      </c>
      <c r="V18" s="3">
        <f>ABS(V17-V15)</f>
        <v>2.5462962962963243E-5</v>
      </c>
    </row>
    <row r="19" spans="2:22" x14ac:dyDescent="0.3">
      <c r="B19" t="s">
        <v>31</v>
      </c>
      <c r="C19" s="9">
        <v>2.3587962962962963E-2</v>
      </c>
      <c r="D19" s="10">
        <f t="shared" si="8"/>
        <v>0.33202614379084971</v>
      </c>
      <c r="E19" s="11">
        <f>C19/D$16</f>
        <v>5.0187155240346733E-3</v>
      </c>
      <c r="F19" s="12">
        <f t="shared" si="9"/>
        <v>1.9246708516193547</v>
      </c>
      <c r="H19" t="s">
        <v>34</v>
      </c>
      <c r="I19" s="9">
        <v>2.2164351851851852E-2</v>
      </c>
      <c r="J19" s="10">
        <f t="shared" si="10"/>
        <v>-6.1274509803921545E-2</v>
      </c>
      <c r="K19" s="11">
        <f>I19/J$16</f>
        <v>4.1045096021947881E-3</v>
      </c>
      <c r="L19" s="12">
        <f t="shared" si="11"/>
        <v>1.5740740740740744</v>
      </c>
      <c r="N19" t="s">
        <v>37</v>
      </c>
      <c r="O19" s="13">
        <v>1.9467592592592595E-2</v>
      </c>
      <c r="P19" s="10">
        <f t="shared" si="12"/>
        <v>9.9346405228758358E-2</v>
      </c>
      <c r="Q19" s="11">
        <f>O19/P$16</f>
        <v>4.1420409771473609E-3</v>
      </c>
      <c r="R19" s="12">
        <f t="shared" si="13"/>
        <v>1.588467307371813</v>
      </c>
      <c r="T19" t="s">
        <v>4</v>
      </c>
      <c r="U19" s="3">
        <v>0.11917824074074074</v>
      </c>
      <c r="V19" s="10">
        <f>(V17-V15)/V15</f>
        <v>-2.1568627450980628E-4</v>
      </c>
    </row>
    <row r="20" spans="2:22" x14ac:dyDescent="0.3">
      <c r="C20" s="1"/>
      <c r="D20" s="10"/>
      <c r="I20" s="1"/>
      <c r="J20" s="10"/>
      <c r="O20" s="1"/>
      <c r="P20" s="10"/>
      <c r="T20" t="s">
        <v>7</v>
      </c>
      <c r="U20" s="3">
        <v>0.12322916666666667</v>
      </c>
    </row>
    <row r="21" spans="2:22" x14ac:dyDescent="0.3">
      <c r="C21" s="1"/>
      <c r="D21" s="1"/>
      <c r="I21" s="1"/>
      <c r="J21" s="1"/>
      <c r="O21" s="1"/>
      <c r="P21" s="1"/>
    </row>
    <row r="22" spans="2:22" x14ac:dyDescent="0.3">
      <c r="C22" s="1"/>
      <c r="I22" s="1"/>
      <c r="J22" s="1"/>
      <c r="O22" s="1"/>
      <c r="P22" s="1"/>
    </row>
    <row r="23" spans="2:22" x14ac:dyDescent="0.3">
      <c r="B23" s="2" t="s">
        <v>15</v>
      </c>
      <c r="C23" s="19">
        <f>F23*0.85</f>
        <v>1.7708333333333333E-2</v>
      </c>
      <c r="D23">
        <f>4.2+75*0.01</f>
        <v>4.95</v>
      </c>
      <c r="E23" s="15">
        <f>C23/D23</f>
        <v>3.5774410774410772E-3</v>
      </c>
      <c r="F23" s="7">
        <v>2.0833333333333332E-2</v>
      </c>
      <c r="H23" s="2" t="s">
        <v>16</v>
      </c>
      <c r="I23" s="19">
        <f>L23*0.85</f>
        <v>1.7708333333333333E-2</v>
      </c>
      <c r="J23">
        <f>3.8+75*0.01</f>
        <v>4.55</v>
      </c>
      <c r="K23" s="15">
        <f>I23/J23</f>
        <v>3.891941391941392E-3</v>
      </c>
      <c r="L23" s="7">
        <v>2.0833333333333332E-2</v>
      </c>
      <c r="O23" s="1"/>
      <c r="P23" s="1"/>
      <c r="T23" s="2" t="s">
        <v>1</v>
      </c>
      <c r="V23" s="20">
        <v>8.3333333333333329E-2</v>
      </c>
    </row>
    <row r="24" spans="2:22" x14ac:dyDescent="0.3">
      <c r="B24" t="s">
        <v>38</v>
      </c>
      <c r="C24" s="9">
        <v>1.6712962962962961E-2</v>
      </c>
      <c r="D24" s="10">
        <f>(C24-C$23)/C$23</f>
        <v>-5.6209150326797491E-2</v>
      </c>
      <c r="E24" s="11">
        <f>C24/D$23</f>
        <v>3.3763561541339314E-3</v>
      </c>
      <c r="F24" s="12">
        <f>E24/$K$10</f>
        <v>1.2948281773347046</v>
      </c>
      <c r="H24" t="s">
        <v>41</v>
      </c>
      <c r="I24" s="9">
        <v>1.4479166666666668E-2</v>
      </c>
      <c r="J24" s="10">
        <f>(I24-I$23)/I$23</f>
        <v>-0.1823529411764705</v>
      </c>
      <c r="K24" s="11">
        <f>I24/J$23</f>
        <v>3.1822344322344326E-3</v>
      </c>
      <c r="L24" s="12">
        <f>K24/$K$10</f>
        <v>1.2203827504088602</v>
      </c>
      <c r="O24" s="1"/>
      <c r="P24" s="1"/>
      <c r="T24" t="s">
        <v>48</v>
      </c>
      <c r="U24" s="3">
        <v>7.1030092592592589E-2</v>
      </c>
    </row>
    <row r="25" spans="2:22" x14ac:dyDescent="0.3">
      <c r="B25" t="s">
        <v>39</v>
      </c>
      <c r="C25" s="9">
        <v>1.6759259259259258E-2</v>
      </c>
      <c r="D25" s="10">
        <f t="shared" ref="D25:D26" si="14">(C25-C$23)/C$23</f>
        <v>-5.3594771241830083E-2</v>
      </c>
      <c r="E25" s="11">
        <f>C25/D$23</f>
        <v>3.3857089412644963E-3</v>
      </c>
      <c r="F25" s="12">
        <f t="shared" ref="F25:F26" si="15">E25/$K$10</f>
        <v>1.2984149589893714</v>
      </c>
      <c r="H25" t="s">
        <v>42</v>
      </c>
      <c r="I25" s="9">
        <v>1.4652777777777778E-2</v>
      </c>
      <c r="J25" s="10">
        <f t="shared" ref="J25:J26" si="16">(I25-I$23)/I$23</f>
        <v>-0.17254901960784308</v>
      </c>
      <c r="K25" s="11">
        <f>I25/J$23</f>
        <v>3.2203907203907207E-3</v>
      </c>
      <c r="L25" s="12">
        <f t="shared" ref="L25:L26" si="17">K25/$K$10</f>
        <v>1.2350156371044101</v>
      </c>
      <c r="O25" s="1"/>
      <c r="P25" s="1"/>
      <c r="T25" t="s">
        <v>6</v>
      </c>
      <c r="U25" s="3">
        <v>7.3842592592592585E-2</v>
      </c>
      <c r="V25" s="14">
        <f>AVERAGE(U24:U28)</f>
        <v>7.4157407407407408E-2</v>
      </c>
    </row>
    <row r="26" spans="2:22" x14ac:dyDescent="0.3">
      <c r="B26" t="s">
        <v>40</v>
      </c>
      <c r="C26" s="9">
        <v>1.6770833333333332E-2</v>
      </c>
      <c r="D26" s="10">
        <f t="shared" si="14"/>
        <v>-5.2941176470588283E-2</v>
      </c>
      <c r="E26" s="11">
        <f>C26/D$23</f>
        <v>3.3880471380471375E-3</v>
      </c>
      <c r="F26" s="12">
        <f t="shared" si="15"/>
        <v>1.2993116544030381</v>
      </c>
      <c r="H26" t="s">
        <v>43</v>
      </c>
      <c r="I26" s="9">
        <v>1.5717592592592592E-2</v>
      </c>
      <c r="J26" s="10">
        <f t="shared" si="16"/>
        <v>-0.11241830065359477</v>
      </c>
      <c r="K26" s="11">
        <f>I26/J$23</f>
        <v>3.4544159544159544E-3</v>
      </c>
      <c r="L26" s="12">
        <f t="shared" si="17"/>
        <v>1.324764008837116</v>
      </c>
      <c r="O26" s="1"/>
      <c r="P26" s="1"/>
      <c r="T26" t="s">
        <v>45</v>
      </c>
      <c r="U26" s="3">
        <v>7.4039351851851856E-2</v>
      </c>
      <c r="V26" s="3">
        <f>ABS(V25-V23)</f>
        <v>9.1759259259259207E-3</v>
      </c>
    </row>
    <row r="27" spans="2:22" x14ac:dyDescent="0.3">
      <c r="T27" t="s">
        <v>46</v>
      </c>
      <c r="U27" s="3">
        <v>7.5208333333333335E-2</v>
      </c>
      <c r="V27" s="10">
        <f>(V25-V23)/V23</f>
        <v>-0.11011111111111105</v>
      </c>
    </row>
    <row r="28" spans="2:22" x14ac:dyDescent="0.3">
      <c r="T28" t="s">
        <v>47</v>
      </c>
      <c r="U28" s="3">
        <v>7.6666666666666661E-2</v>
      </c>
    </row>
  </sheetData>
  <conditionalFormatting sqref="D5:D7 J5:J7 P5:P7 J10:J12 D17:D19 J17:J19 P17:P19 D24:D26 J24:J26">
    <cfRule type="cellIs" dxfId="77" priority="25" operator="greaterThanOrEqual">
      <formula>0.25</formula>
    </cfRule>
    <cfRule type="cellIs" dxfId="76" priority="26" operator="between">
      <formula>0.15</formula>
      <formula>0.25</formula>
    </cfRule>
    <cfRule type="cellIs" dxfId="75" priority="27" operator="between">
      <formula>0.05</formula>
      <formula>0.15</formula>
    </cfRule>
    <cfRule type="cellIs" dxfId="74" priority="28" operator="between">
      <formula>-0.05</formula>
      <formula>0.05</formula>
    </cfRule>
    <cfRule type="cellIs" dxfId="73" priority="29" operator="between">
      <formula>-0.15</formula>
      <formula>-0.05</formula>
    </cfRule>
    <cfRule type="cellIs" dxfId="72" priority="30" operator="lessThanOrEqual">
      <formula>-0.15</formula>
    </cfRule>
  </conditionalFormatting>
  <conditionalFormatting sqref="V8">
    <cfRule type="cellIs" dxfId="71" priority="19" operator="greaterThanOrEqual">
      <formula>0.25</formula>
    </cfRule>
    <cfRule type="cellIs" dxfId="70" priority="20" operator="between">
      <formula>0.15</formula>
      <formula>0.25</formula>
    </cfRule>
    <cfRule type="cellIs" dxfId="69" priority="21" operator="between">
      <formula>0.05</formula>
      <formula>0.15</formula>
    </cfRule>
    <cfRule type="cellIs" dxfId="68" priority="22" operator="between">
      <formula>-0.05</formula>
      <formula>0.05</formula>
    </cfRule>
    <cfRule type="cellIs" dxfId="67" priority="23" operator="between">
      <formula>-0.15</formula>
      <formula>-0.05</formula>
    </cfRule>
    <cfRule type="cellIs" dxfId="66" priority="24" operator="lessThanOrEqual">
      <formula>-0.15</formula>
    </cfRule>
  </conditionalFormatting>
  <conditionalFormatting sqref="V19">
    <cfRule type="cellIs" dxfId="65" priority="7" operator="greaterThanOrEqual">
      <formula>0.25</formula>
    </cfRule>
    <cfRule type="cellIs" dxfId="64" priority="8" operator="between">
      <formula>0.15</formula>
      <formula>0.25</formula>
    </cfRule>
    <cfRule type="cellIs" dxfId="63" priority="9" operator="between">
      <formula>0.05</formula>
      <formula>0.15</formula>
    </cfRule>
    <cfRule type="cellIs" dxfId="62" priority="10" operator="between">
      <formula>-0.05</formula>
      <formula>0.05</formula>
    </cfRule>
    <cfRule type="cellIs" dxfId="61" priority="11" operator="between">
      <formula>-0.15</formula>
      <formula>-0.05</formula>
    </cfRule>
    <cfRule type="cellIs" dxfId="60" priority="12" operator="lessThanOrEqual">
      <formula>-0.15</formula>
    </cfRule>
  </conditionalFormatting>
  <conditionalFormatting sqref="V27">
    <cfRule type="cellIs" dxfId="59" priority="1" operator="greaterThanOrEqual">
      <formula>0.25</formula>
    </cfRule>
    <cfRule type="cellIs" dxfId="58" priority="2" operator="between">
      <formula>0.15</formula>
      <formula>0.25</formula>
    </cfRule>
    <cfRule type="cellIs" dxfId="57" priority="3" operator="between">
      <formula>0.05</formula>
      <formula>0.15</formula>
    </cfRule>
    <cfRule type="cellIs" dxfId="56" priority="4" operator="between">
      <formula>-0.05</formula>
      <formula>0.05</formula>
    </cfRule>
    <cfRule type="cellIs" dxfId="55" priority="5" operator="between">
      <formula>-0.15</formula>
      <formula>-0.05</formula>
    </cfRule>
    <cfRule type="cellIs" dxfId="54" priority="6" operator="lessThanOrEqual">
      <formula>-0.15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0D00B-0C17-431B-9EA1-2FED0AB67F38}">
  <dimension ref="B1:V28"/>
  <sheetViews>
    <sheetView workbookViewId="0"/>
  </sheetViews>
  <sheetFormatPr baseColWidth="10" defaultRowHeight="14.4" x14ac:dyDescent="0.3"/>
  <cols>
    <col min="1" max="1" width="1.6640625" customWidth="1"/>
    <col min="2" max="2" width="20.21875" customWidth="1"/>
    <col min="3" max="3" width="6.6640625" customWidth="1"/>
    <col min="4" max="4" width="7.77734375" customWidth="1"/>
    <col min="5" max="5" width="6.109375" customWidth="1"/>
    <col min="6" max="6" width="6.109375" style="2" customWidth="1"/>
    <col min="7" max="7" width="5.5546875" customWidth="1"/>
    <col min="8" max="8" width="20.21875" customWidth="1"/>
    <col min="9" max="9" width="6.6640625" customWidth="1"/>
    <col min="10" max="10" width="7.77734375" customWidth="1"/>
    <col min="11" max="11" width="6.109375" customWidth="1"/>
    <col min="12" max="12" width="6.109375" style="2" customWidth="1"/>
    <col min="13" max="13" width="5.5546875" customWidth="1"/>
    <col min="14" max="14" width="20.21875" customWidth="1"/>
    <col min="15" max="15" width="6.6640625" customWidth="1"/>
    <col min="16" max="16" width="7.77734375" customWidth="1"/>
    <col min="17" max="17" width="6.109375" customWidth="1"/>
    <col min="18" max="18" width="6.109375" style="2" customWidth="1"/>
    <col min="19" max="19" width="8.88671875" customWidth="1"/>
    <col min="20" max="20" width="7.33203125" bestFit="1" customWidth="1"/>
    <col min="21" max="21" width="7.109375" style="3" bestFit="1" customWidth="1"/>
    <col min="22" max="22" width="7.77734375" style="3" bestFit="1" customWidth="1"/>
  </cols>
  <sheetData>
    <row r="1" spans="2:22" ht="9.6" customHeight="1" x14ac:dyDescent="0.3">
      <c r="C1" s="1"/>
      <c r="D1" s="1"/>
      <c r="I1" s="1"/>
      <c r="J1" s="1"/>
      <c r="O1" s="1"/>
      <c r="P1" s="1"/>
    </row>
    <row r="2" spans="2:22" x14ac:dyDescent="0.3">
      <c r="B2" s="4" t="s">
        <v>0</v>
      </c>
      <c r="C2" s="1"/>
      <c r="D2" s="1"/>
      <c r="I2" s="1"/>
      <c r="J2" s="1"/>
      <c r="O2" s="1"/>
      <c r="Q2" s="21"/>
    </row>
    <row r="3" spans="2:22" x14ac:dyDescent="0.3">
      <c r="C3" s="1"/>
      <c r="D3" s="1"/>
      <c r="I3" s="1"/>
      <c r="O3" s="5"/>
      <c r="P3" s="1"/>
    </row>
    <row r="4" spans="2:22" x14ac:dyDescent="0.3">
      <c r="B4" s="2" t="s">
        <v>8</v>
      </c>
      <c r="C4" s="19">
        <f>F4*0.85</f>
        <v>2.361111111111111E-2</v>
      </c>
      <c r="D4">
        <f>4.2+210*0.01</f>
        <v>6.3000000000000007</v>
      </c>
      <c r="E4" s="15">
        <f>C4/D4</f>
        <v>3.7477954144620805E-3</v>
      </c>
      <c r="F4" s="7">
        <v>2.7777777777777776E-2</v>
      </c>
      <c r="H4" s="2" t="s">
        <v>11</v>
      </c>
      <c r="I4" s="19">
        <f>L4*0.85</f>
        <v>2.9513888888888888E-2</v>
      </c>
      <c r="J4">
        <f>6+200*0.01</f>
        <v>8</v>
      </c>
      <c r="K4" s="15">
        <f>I4/J4</f>
        <v>3.689236111111111E-3</v>
      </c>
      <c r="L4" s="7">
        <v>3.4722222222222224E-2</v>
      </c>
      <c r="N4" s="2" t="s">
        <v>10</v>
      </c>
      <c r="O4" s="19">
        <f>R4*0.85</f>
        <v>1.7708333333333333E-2</v>
      </c>
      <c r="P4">
        <f>3.3+175*0.01</f>
        <v>5.05</v>
      </c>
      <c r="Q4" s="15">
        <f>O4/P4</f>
        <v>3.5066006600660065E-3</v>
      </c>
      <c r="R4" s="7">
        <v>2.0833333333333332E-2</v>
      </c>
      <c r="T4" s="2" t="s">
        <v>1</v>
      </c>
      <c r="V4" s="20">
        <v>0.20138888888888887</v>
      </c>
    </row>
    <row r="5" spans="2:22" x14ac:dyDescent="0.3">
      <c r="B5" t="s">
        <v>52</v>
      </c>
      <c r="C5" s="9">
        <v>2.119212962962963E-2</v>
      </c>
      <c r="D5" s="10">
        <f>(C5-C$4)/C$4</f>
        <v>-0.10245098039215682</v>
      </c>
      <c r="E5" s="11">
        <f>C5/D$4</f>
        <v>3.3638300999412106E-3</v>
      </c>
      <c r="F5" s="12">
        <f>E5/$K$10</f>
        <v>1.0578159076794198</v>
      </c>
      <c r="H5" t="s">
        <v>81</v>
      </c>
      <c r="I5" s="9">
        <v>2.8460648148148148E-2</v>
      </c>
      <c r="J5" s="10">
        <f>(I5-I$4)/I$4</f>
        <v>-3.5686274509803897E-2</v>
      </c>
      <c r="K5" s="11">
        <f>I5/J$4</f>
        <v>3.5575810185185185E-3</v>
      </c>
      <c r="L5" s="12">
        <f>K5/$K$10</f>
        <v>1.1187443130118289</v>
      </c>
      <c r="N5" t="s">
        <v>25</v>
      </c>
      <c r="O5" s="13">
        <v>1.7465277777777777E-2</v>
      </c>
      <c r="P5" s="10">
        <f>(O5-O$4)/O$4</f>
        <v>-1.3725490196078423E-2</v>
      </c>
      <c r="Q5" s="11">
        <f>O5/P$4</f>
        <v>3.4584708470847087E-3</v>
      </c>
      <c r="R5" s="12">
        <f>Q5/$K$10</f>
        <v>1.0875773655618519</v>
      </c>
      <c r="T5" t="s">
        <v>45</v>
      </c>
      <c r="U5" s="3">
        <v>0.170625</v>
      </c>
    </row>
    <row r="6" spans="2:22" x14ac:dyDescent="0.3">
      <c r="B6" t="s">
        <v>19</v>
      </c>
      <c r="C6" s="9">
        <v>2.1250000000000002E-2</v>
      </c>
      <c r="D6" s="10">
        <f t="shared" ref="D6:D7" si="0">(C6-C$4)/C$4</f>
        <v>-9.9999999999999908E-2</v>
      </c>
      <c r="E6" s="11">
        <f>C6/D$4</f>
        <v>3.3730158730158727E-3</v>
      </c>
      <c r="F6" s="12">
        <f t="shared" ref="F6:F7" si="1">E6/$K$10</f>
        <v>1.0607045365917067</v>
      </c>
      <c r="H6" t="s">
        <v>20</v>
      </c>
      <c r="I6" s="9">
        <v>2.9733796296296296E-2</v>
      </c>
      <c r="J6" s="10">
        <f t="shared" ref="J6:J7" si="2">(I6-I$4)/I$4</f>
        <v>7.4509803921568914E-3</v>
      </c>
      <c r="K6" s="11">
        <f>I6/J$4</f>
        <v>3.716724537037037E-3</v>
      </c>
      <c r="L6" s="12">
        <f t="shared" ref="L6:L7" si="3">K6/$K$10</f>
        <v>1.1687898089171975</v>
      </c>
      <c r="N6" t="s">
        <v>83</v>
      </c>
      <c r="O6" s="13">
        <v>1.7928240740740741E-2</v>
      </c>
      <c r="P6" s="10">
        <f t="shared" ref="P6:P7" si="4">(O6-O$4)/O$4</f>
        <v>1.2418300653594819E-2</v>
      </c>
      <c r="Q6" s="11">
        <f>O6/P$4</f>
        <v>3.5501466813348003E-3</v>
      </c>
      <c r="R6" s="12">
        <f t="shared" ref="R6:R7" si="5">Q6/$K$10</f>
        <v>1.1164064541121992</v>
      </c>
      <c r="T6" t="s">
        <v>44</v>
      </c>
      <c r="U6" s="3">
        <v>0.17189814814814816</v>
      </c>
      <c r="V6" s="14">
        <f>AVERAGE(U5:U9)</f>
        <v>0.1774351851851852</v>
      </c>
    </row>
    <row r="7" spans="2:22" x14ac:dyDescent="0.3">
      <c r="B7" t="s">
        <v>80</v>
      </c>
      <c r="C7" s="9">
        <v>2.2280092592592591E-2</v>
      </c>
      <c r="D7" s="10">
        <f t="shared" si="0"/>
        <v>-5.6372549019607893E-2</v>
      </c>
      <c r="E7" s="11">
        <f>C7/D$4</f>
        <v>3.5365226337448555E-3</v>
      </c>
      <c r="F7" s="12">
        <f t="shared" si="1"/>
        <v>1.1121221312304113</v>
      </c>
      <c r="H7" t="s">
        <v>82</v>
      </c>
      <c r="I7" s="9">
        <v>3.1481481481481478E-2</v>
      </c>
      <c r="J7" s="10">
        <f t="shared" si="2"/>
        <v>6.6666666666666582E-2</v>
      </c>
      <c r="K7" s="11">
        <f>I7/J$4</f>
        <v>3.9351851851851848E-3</v>
      </c>
      <c r="L7" s="12">
        <f t="shared" si="3"/>
        <v>1.2374886260236577</v>
      </c>
      <c r="N7" t="s">
        <v>84</v>
      </c>
      <c r="O7" s="13">
        <v>1.8530092592592591E-2</v>
      </c>
      <c r="P7" s="10">
        <f t="shared" si="4"/>
        <v>4.6405228758169874E-2</v>
      </c>
      <c r="Q7" s="11">
        <f>O7/P$4</f>
        <v>3.6693252658599193E-3</v>
      </c>
      <c r="R7" s="12">
        <f t="shared" si="5"/>
        <v>1.1538842692276507</v>
      </c>
      <c r="T7" t="s">
        <v>3</v>
      </c>
      <c r="U7" s="3">
        <v>0.17793981481481483</v>
      </c>
      <c r="V7" s="3">
        <f>ABS(V6-V4)</f>
        <v>2.3953703703703672E-2</v>
      </c>
    </row>
    <row r="8" spans="2:22" x14ac:dyDescent="0.3">
      <c r="C8" s="1"/>
      <c r="D8" s="10"/>
      <c r="I8" s="1"/>
      <c r="J8" s="10"/>
      <c r="O8" s="1"/>
      <c r="P8" s="10"/>
      <c r="T8" t="s">
        <v>4</v>
      </c>
      <c r="U8" s="3">
        <v>0.18010416666666668</v>
      </c>
      <c r="V8" s="10">
        <f>(V6-V4)/V4</f>
        <v>-0.11894252873563203</v>
      </c>
    </row>
    <row r="9" spans="2:22" x14ac:dyDescent="0.3">
      <c r="C9" s="1"/>
      <c r="D9" s="1"/>
      <c r="H9" s="2" t="s">
        <v>9</v>
      </c>
      <c r="I9" s="19">
        <f>L9*0.85</f>
        <v>2.9513888888888888E-2</v>
      </c>
      <c r="J9">
        <f>6+200*0.01</f>
        <v>8</v>
      </c>
      <c r="K9" s="15">
        <f>I9/J9</f>
        <v>3.689236111111111E-3</v>
      </c>
      <c r="L9" s="7">
        <v>3.4722222222222224E-2</v>
      </c>
      <c r="O9" s="1"/>
      <c r="P9" s="1"/>
      <c r="T9" t="s">
        <v>2</v>
      </c>
      <c r="U9" s="3">
        <v>0.18660879629629629</v>
      </c>
    </row>
    <row r="10" spans="2:22" x14ac:dyDescent="0.3">
      <c r="B10" s="2"/>
      <c r="C10" s="6"/>
      <c r="D10" s="7"/>
      <c r="H10" t="s">
        <v>26</v>
      </c>
      <c r="I10" s="9">
        <v>2.5439814814814814E-2</v>
      </c>
      <c r="J10" s="10">
        <f>(I10-I$9)/I$9</f>
        <v>-0.1380392156862745</v>
      </c>
      <c r="K10" s="11">
        <f>I10/J$9</f>
        <v>3.1799768518518518E-3</v>
      </c>
      <c r="L10" s="17">
        <f>K10/$K$10</f>
        <v>1</v>
      </c>
      <c r="N10" s="2"/>
      <c r="O10" s="6"/>
      <c r="P10" s="7"/>
      <c r="U10"/>
      <c r="V10"/>
    </row>
    <row r="11" spans="2:22" x14ac:dyDescent="0.3">
      <c r="C11" s="9"/>
      <c r="D11" s="7"/>
      <c r="E11" s="11"/>
      <c r="F11" s="12"/>
      <c r="H11" t="s">
        <v>85</v>
      </c>
      <c r="I11" s="9">
        <v>2.6018518518518517E-2</v>
      </c>
      <c r="J11" s="10">
        <f t="shared" ref="J11:J12" si="6">(I11-I$9)/I$9</f>
        <v>-0.11843137254901963</v>
      </c>
      <c r="K11" s="11">
        <f>I11/J$9</f>
        <v>3.2523148148148147E-3</v>
      </c>
      <c r="L11" s="12">
        <f>K11/$K$10</f>
        <v>1.0227479526842584</v>
      </c>
      <c r="O11" s="9"/>
      <c r="P11" s="7"/>
      <c r="Q11" s="11"/>
      <c r="R11" s="12"/>
      <c r="U11"/>
      <c r="V11"/>
    </row>
    <row r="12" spans="2:22" x14ac:dyDescent="0.3">
      <c r="C12" s="9"/>
      <c r="D12" s="7"/>
      <c r="E12" s="11"/>
      <c r="F12" s="12"/>
      <c r="H12" t="s">
        <v>57</v>
      </c>
      <c r="I12" s="9">
        <v>2.6064814814814815E-2</v>
      </c>
      <c r="J12" s="10">
        <f t="shared" si="6"/>
        <v>-0.11686274509803919</v>
      </c>
      <c r="K12" s="11">
        <f>I12/J$9</f>
        <v>3.2581018518518519E-3</v>
      </c>
      <c r="L12" s="12">
        <f t="shared" ref="L12" si="7">K12/$K$10</f>
        <v>1.024567788898999</v>
      </c>
      <c r="O12" s="9"/>
      <c r="P12" s="7"/>
      <c r="Q12" s="11"/>
      <c r="R12" s="12"/>
      <c r="U12"/>
      <c r="V12"/>
    </row>
    <row r="13" spans="2:22" x14ac:dyDescent="0.3">
      <c r="C13" s="9"/>
      <c r="D13" s="7"/>
      <c r="E13" s="11"/>
      <c r="F13" s="12"/>
      <c r="K13" s="11"/>
      <c r="L13" s="12"/>
      <c r="O13" s="9"/>
      <c r="P13" s="7"/>
      <c r="Q13" s="11"/>
      <c r="R13" s="12"/>
      <c r="U13"/>
      <c r="V13"/>
    </row>
    <row r="14" spans="2:22" x14ac:dyDescent="0.3">
      <c r="C14" s="1"/>
      <c r="D14" s="10"/>
      <c r="I14" s="1"/>
      <c r="J14" s="10"/>
      <c r="O14" s="1"/>
      <c r="P14" s="10"/>
      <c r="U14"/>
      <c r="V14"/>
    </row>
    <row r="15" spans="2:22" x14ac:dyDescent="0.3">
      <c r="C15" s="1"/>
      <c r="I15" s="1"/>
      <c r="O15" s="1"/>
      <c r="T15" s="2" t="s">
        <v>1</v>
      </c>
      <c r="V15" s="20">
        <v>0.11805555555555557</v>
      </c>
    </row>
    <row r="16" spans="2:22" x14ac:dyDescent="0.3">
      <c r="B16" s="2" t="s">
        <v>12</v>
      </c>
      <c r="C16" s="19">
        <f>F16*0.85</f>
        <v>1.7708333333333333E-2</v>
      </c>
      <c r="D16">
        <f>2.4+170*0.01</f>
        <v>4.0999999999999996</v>
      </c>
      <c r="E16" s="15">
        <f>C16/D16</f>
        <v>4.3191056910569106E-3</v>
      </c>
      <c r="F16" s="7">
        <v>2.0833333333333332E-2</v>
      </c>
      <c r="H16" s="2" t="s">
        <v>13</v>
      </c>
      <c r="I16" s="19">
        <f>L16*0.85</f>
        <v>2.361111111111111E-2</v>
      </c>
      <c r="J16">
        <f>3.3+195*0.01</f>
        <v>5.25</v>
      </c>
      <c r="K16" s="15">
        <f>I16/J16</f>
        <v>4.4973544973544973E-3</v>
      </c>
      <c r="L16" s="7">
        <v>2.7777777777777776E-2</v>
      </c>
      <c r="N16" s="8" t="s">
        <v>14</v>
      </c>
      <c r="O16" s="19">
        <f>R16*0.85</f>
        <v>1.7708333333333333E-2</v>
      </c>
      <c r="P16">
        <f>2.4+170*0.01</f>
        <v>4.0999999999999996</v>
      </c>
      <c r="Q16" s="15">
        <f>O16/P16</f>
        <v>4.3191056910569106E-3</v>
      </c>
      <c r="R16" s="7">
        <v>2.0833333333333332E-2</v>
      </c>
      <c r="T16" t="s">
        <v>45</v>
      </c>
      <c r="U16" s="3">
        <v>9.1655092592592594E-2</v>
      </c>
    </row>
    <row r="17" spans="2:22" x14ac:dyDescent="0.3">
      <c r="B17" t="s">
        <v>31</v>
      </c>
      <c r="C17" s="9">
        <v>1.6134259259259258E-2</v>
      </c>
      <c r="D17" s="10">
        <f>(C17-C$16)/C$16</f>
        <v>-8.8888888888888948E-2</v>
      </c>
      <c r="E17" s="11">
        <f>C17/D$16</f>
        <v>3.9351851851851848E-3</v>
      </c>
      <c r="F17" s="12">
        <f>E17/$K$10</f>
        <v>1.2374886260236577</v>
      </c>
      <c r="H17" t="s">
        <v>88</v>
      </c>
      <c r="I17" s="9">
        <v>1.8576388888888889E-2</v>
      </c>
      <c r="J17" s="10">
        <f>(I17-I$16)/I$16</f>
        <v>-0.21323529411764705</v>
      </c>
      <c r="K17" s="11">
        <f>I17/J$16</f>
        <v>3.5383597883597885E-3</v>
      </c>
      <c r="L17" s="12">
        <f>K17/$K$10</f>
        <v>1.112699857012869</v>
      </c>
      <c r="N17" t="s">
        <v>91</v>
      </c>
      <c r="O17" s="13">
        <v>1.5439814814814814E-2</v>
      </c>
      <c r="P17" s="10">
        <f>(O17-O$16)/O$16</f>
        <v>-0.12810457516339871</v>
      </c>
      <c r="Q17" s="11">
        <f>O17/P$16</f>
        <v>3.7658084914182475E-3</v>
      </c>
      <c r="R17" s="12">
        <f>Q17/$K$10</f>
        <v>1.1842251270556381</v>
      </c>
      <c r="T17" t="s">
        <v>44</v>
      </c>
      <c r="U17" s="3">
        <v>9.2476851851851852E-2</v>
      </c>
      <c r="V17" s="14">
        <f>AVERAGE(U16:U20)</f>
        <v>9.5377314814814804E-2</v>
      </c>
    </row>
    <row r="18" spans="2:22" x14ac:dyDescent="0.3">
      <c r="B18" t="s">
        <v>86</v>
      </c>
      <c r="C18" s="9">
        <v>1.6585648148148148E-2</v>
      </c>
      <c r="D18" s="10">
        <f t="shared" ref="D18:D19" si="8">(C18-C$16)/C$16</f>
        <v>-6.3398692810457499E-2</v>
      </c>
      <c r="E18" s="11">
        <f>C18/D$16</f>
        <v>4.0452800361336951E-3</v>
      </c>
      <c r="F18" s="12">
        <f t="shared" ref="F18:F19" si="9">E18/$K$10</f>
        <v>1.2721099003528709</v>
      </c>
      <c r="H18" t="s">
        <v>89</v>
      </c>
      <c r="I18" s="9">
        <v>1.8599537037037036E-2</v>
      </c>
      <c r="J18" s="10">
        <f t="shared" ref="J18:J19" si="10">(I18-I$16)/I$16</f>
        <v>-0.21225490196078434</v>
      </c>
      <c r="K18" s="11">
        <f>I18/J$16</f>
        <v>3.542768959435626E-3</v>
      </c>
      <c r="L18" s="12">
        <f t="shared" ref="L18:L19" si="11">K18/$K$10</f>
        <v>1.1140863988907665</v>
      </c>
      <c r="N18" t="s">
        <v>92</v>
      </c>
      <c r="O18" s="13">
        <v>1.5671296296296298E-2</v>
      </c>
      <c r="P18" s="10">
        <f t="shared" ref="P18:P19" si="12">(O18-O$16)/O$16</f>
        <v>-0.11503267973856199</v>
      </c>
      <c r="Q18" s="11">
        <f>O18/P$16</f>
        <v>3.8222673893405609E-3</v>
      </c>
      <c r="R18" s="12">
        <f t="shared" ref="R18:R19" si="13">Q18/$K$10</f>
        <v>1.2019796267116449</v>
      </c>
      <c r="T18" t="s">
        <v>2</v>
      </c>
      <c r="U18" s="3">
        <v>9.2615740740740735E-2</v>
      </c>
      <c r="V18" s="3">
        <f>ABS(V17-V15)</f>
        <v>2.2678240740740763E-2</v>
      </c>
    </row>
    <row r="19" spans="2:22" x14ac:dyDescent="0.3">
      <c r="B19" t="s">
        <v>87</v>
      </c>
      <c r="C19" s="9">
        <v>1.6724537037037038E-2</v>
      </c>
      <c r="D19" s="10">
        <f t="shared" si="8"/>
        <v>-5.555555555555549E-2</v>
      </c>
      <c r="E19" s="11">
        <f>C19/D$16</f>
        <v>4.0791553748870824E-3</v>
      </c>
      <c r="F19" s="12">
        <f t="shared" si="9"/>
        <v>1.2827626001464747</v>
      </c>
      <c r="H19" t="s">
        <v>63</v>
      </c>
      <c r="I19" s="9">
        <v>1.9942129629629629E-2</v>
      </c>
      <c r="J19" s="10">
        <f t="shared" si="10"/>
        <v>-0.1553921568627451</v>
      </c>
      <c r="K19" s="11">
        <f>I19/J$16</f>
        <v>3.7985008818342153E-3</v>
      </c>
      <c r="L19" s="12">
        <f t="shared" si="11"/>
        <v>1.1945058278088305</v>
      </c>
      <c r="N19" t="s">
        <v>90</v>
      </c>
      <c r="O19" s="13">
        <v>1.5833333333333335E-2</v>
      </c>
      <c r="P19" s="10">
        <f t="shared" si="12"/>
        <v>-0.10588235294117637</v>
      </c>
      <c r="Q19" s="11">
        <f>O19/P$16</f>
        <v>3.8617886178861794E-3</v>
      </c>
      <c r="R19" s="12">
        <f t="shared" si="13"/>
        <v>1.2144077764708494</v>
      </c>
      <c r="T19" t="s">
        <v>7</v>
      </c>
      <c r="U19" s="3">
        <v>9.6712962962962959E-2</v>
      </c>
      <c r="V19" s="10">
        <f>(V17-V15)/V15</f>
        <v>-0.19209803921568644</v>
      </c>
    </row>
    <row r="20" spans="2:22" x14ac:dyDescent="0.3">
      <c r="C20" s="1"/>
      <c r="D20" s="10"/>
      <c r="I20" s="1"/>
      <c r="J20" s="10"/>
      <c r="O20" s="1"/>
      <c r="P20" s="10"/>
      <c r="T20" t="s">
        <v>6</v>
      </c>
      <c r="U20" s="3">
        <v>0.10342592592592592</v>
      </c>
    </row>
    <row r="21" spans="2:22" x14ac:dyDescent="0.3">
      <c r="C21" s="1"/>
      <c r="D21" s="1"/>
      <c r="I21" s="1"/>
      <c r="J21" s="1"/>
      <c r="O21" s="1"/>
      <c r="P21" s="1"/>
    </row>
    <row r="22" spans="2:22" x14ac:dyDescent="0.3">
      <c r="C22" s="1"/>
      <c r="I22" s="1"/>
      <c r="J22" s="1"/>
      <c r="O22" s="1"/>
      <c r="P22" s="1"/>
    </row>
    <row r="23" spans="2:22" x14ac:dyDescent="0.3">
      <c r="B23" s="2" t="s">
        <v>15</v>
      </c>
      <c r="C23" s="19">
        <f>F23*0.85</f>
        <v>1.7708333333333333E-2</v>
      </c>
      <c r="D23">
        <f>2.9+170*0.01</f>
        <v>4.5999999999999996</v>
      </c>
      <c r="E23" s="15">
        <f>C23/D23</f>
        <v>3.8496376811594205E-3</v>
      </c>
      <c r="F23" s="7">
        <v>2.0833333333333332E-2</v>
      </c>
      <c r="H23" s="2" t="s">
        <v>16</v>
      </c>
      <c r="I23" s="19">
        <f>L23*0.85</f>
        <v>1.7708333333333333E-2</v>
      </c>
      <c r="J23">
        <f>2.3+165*0.01</f>
        <v>3.95</v>
      </c>
      <c r="K23" s="15">
        <f>I23/J23</f>
        <v>4.4831223628691982E-3</v>
      </c>
      <c r="L23" s="7">
        <v>2.0833333333333332E-2</v>
      </c>
      <c r="O23" s="1"/>
      <c r="P23" s="1"/>
      <c r="T23" s="2" t="s">
        <v>1</v>
      </c>
      <c r="V23" s="20">
        <v>8.3333333333333329E-2</v>
      </c>
    </row>
    <row r="24" spans="2:22" x14ac:dyDescent="0.3">
      <c r="B24" t="s">
        <v>93</v>
      </c>
      <c r="C24" s="9">
        <v>1.556712962962963E-2</v>
      </c>
      <c r="D24" s="10">
        <f>(C24-C$23)/C$23</f>
        <v>-0.12091503267973849</v>
      </c>
      <c r="E24" s="11">
        <f>C24/D$23</f>
        <v>3.3841586151368763E-3</v>
      </c>
      <c r="F24" s="12">
        <f>E24/$K$10</f>
        <v>1.0642085690548722</v>
      </c>
      <c r="H24" t="s">
        <v>96</v>
      </c>
      <c r="I24" s="9">
        <v>1.4699074074074074E-2</v>
      </c>
      <c r="J24" s="10">
        <f>(I24-I$23)/I$23</f>
        <v>-0.16993464052287577</v>
      </c>
      <c r="K24" s="11">
        <f>I24/J$23</f>
        <v>3.7212845757149554E-3</v>
      </c>
      <c r="L24" s="12">
        <f>K24/$K$10</f>
        <v>1.1702237937826101</v>
      </c>
      <c r="O24" s="1"/>
      <c r="P24" s="1"/>
      <c r="T24" t="s">
        <v>48</v>
      </c>
      <c r="U24" s="3">
        <v>6.7175925925925931E-2</v>
      </c>
    </row>
    <row r="25" spans="2:22" x14ac:dyDescent="0.3">
      <c r="B25" t="s">
        <v>95</v>
      </c>
      <c r="C25" s="9">
        <v>1.5671296296296298E-2</v>
      </c>
      <c r="D25" s="10">
        <f t="shared" ref="D25:D26" si="14">(C25-C$23)/C$23</f>
        <v>-0.11503267973856199</v>
      </c>
      <c r="E25" s="11">
        <f>C25/D$23</f>
        <v>3.4068035426731086E-3</v>
      </c>
      <c r="F25" s="12">
        <f t="shared" ref="F25:F26" si="15">E25/$K$10</f>
        <v>1.0713296672864663</v>
      </c>
      <c r="H25" t="s">
        <v>97</v>
      </c>
      <c r="I25" s="9">
        <v>1.4988425925925926E-2</v>
      </c>
      <c r="J25" s="10">
        <f t="shared" ref="J25:J26" si="16">(I25-I$23)/I$23</f>
        <v>-0.15359477124183005</v>
      </c>
      <c r="K25" s="11">
        <f>I25/J$23</f>
        <v>3.7945382090951709E-3</v>
      </c>
      <c r="L25" s="12">
        <f t="shared" ref="L25:L26" si="17">K25/$K$10</f>
        <v>1.1932596952350238</v>
      </c>
      <c r="O25" s="1"/>
      <c r="P25" s="1"/>
      <c r="T25" t="s">
        <v>3</v>
      </c>
      <c r="U25" s="3">
        <v>6.806712962962963E-2</v>
      </c>
      <c r="V25" s="14">
        <f>AVERAGE(U24:U28)</f>
        <v>7.0986111111111111E-2</v>
      </c>
    </row>
    <row r="26" spans="2:22" x14ac:dyDescent="0.3">
      <c r="B26" t="s">
        <v>94</v>
      </c>
      <c r="C26" s="9">
        <v>1.5706018518518518E-2</v>
      </c>
      <c r="D26" s="10">
        <f t="shared" si="14"/>
        <v>-0.11307189542483659</v>
      </c>
      <c r="E26" s="11">
        <f>C26/D$23</f>
        <v>3.414351851851852E-3</v>
      </c>
      <c r="F26" s="12">
        <f t="shared" si="15"/>
        <v>1.0737033666969973</v>
      </c>
      <c r="H26" t="s">
        <v>98</v>
      </c>
      <c r="I26" s="9">
        <v>1.5555555555555555E-2</v>
      </c>
      <c r="J26" s="10">
        <f t="shared" si="16"/>
        <v>-0.12156862745098039</v>
      </c>
      <c r="K26" s="11">
        <f>I26/J$23</f>
        <v>3.9381153305203939E-3</v>
      </c>
      <c r="L26" s="12">
        <f t="shared" si="17"/>
        <v>1.2384100620817544</v>
      </c>
      <c r="O26" s="1"/>
      <c r="P26" s="1"/>
      <c r="T26" t="s">
        <v>77</v>
      </c>
      <c r="U26" s="3">
        <v>7.0717592592592596E-2</v>
      </c>
      <c r="V26" s="3">
        <f>ABS(V25-V23)</f>
        <v>1.2347222222222218E-2</v>
      </c>
    </row>
    <row r="27" spans="2:22" x14ac:dyDescent="0.3">
      <c r="T27" t="s">
        <v>79</v>
      </c>
      <c r="U27" s="3">
        <v>7.4421296296296291E-2</v>
      </c>
      <c r="V27" s="10">
        <f>(V25-V23)/V23</f>
        <v>-0.14816666666666661</v>
      </c>
    </row>
    <row r="28" spans="2:22" x14ac:dyDescent="0.3">
      <c r="T28" t="s">
        <v>78</v>
      </c>
      <c r="U28" s="3">
        <v>7.4548611111111107E-2</v>
      </c>
    </row>
  </sheetData>
  <conditionalFormatting sqref="D5:D7 J5:J7 P5:P7 J10:J12 D17:D19 J17:J19 P17:P19 D24:D26 J24:J26">
    <cfRule type="cellIs" dxfId="53" priority="19" operator="greaterThanOrEqual">
      <formula>0.25</formula>
    </cfRule>
    <cfRule type="cellIs" dxfId="52" priority="20" operator="between">
      <formula>0.15</formula>
      <formula>0.25</formula>
    </cfRule>
    <cfRule type="cellIs" dxfId="51" priority="21" operator="between">
      <formula>0.05</formula>
      <formula>0.15</formula>
    </cfRule>
    <cfRule type="cellIs" dxfId="50" priority="22" operator="between">
      <formula>-0.05</formula>
      <formula>0.05</formula>
    </cfRule>
    <cfRule type="cellIs" dxfId="49" priority="23" operator="between">
      <formula>-0.15</formula>
      <formula>-0.05</formula>
    </cfRule>
    <cfRule type="cellIs" dxfId="48" priority="24" operator="lessThanOrEqual">
      <formula>-0.15</formula>
    </cfRule>
  </conditionalFormatting>
  <conditionalFormatting sqref="V8">
    <cfRule type="cellIs" dxfId="47" priority="13" operator="greaterThanOrEqual">
      <formula>0.25</formula>
    </cfRule>
    <cfRule type="cellIs" dxfId="46" priority="14" operator="between">
      <formula>0.15</formula>
      <formula>0.25</formula>
    </cfRule>
    <cfRule type="cellIs" dxfId="45" priority="15" operator="between">
      <formula>0.05</formula>
      <formula>0.15</formula>
    </cfRule>
    <cfRule type="cellIs" dxfId="44" priority="16" operator="between">
      <formula>-0.05</formula>
      <formula>0.05</formula>
    </cfRule>
    <cfRule type="cellIs" dxfId="43" priority="17" operator="between">
      <formula>-0.15</formula>
      <formula>-0.05</formula>
    </cfRule>
    <cfRule type="cellIs" dxfId="42" priority="18" operator="lessThanOrEqual">
      <formula>-0.15</formula>
    </cfRule>
  </conditionalFormatting>
  <conditionalFormatting sqref="V19">
    <cfRule type="cellIs" dxfId="41" priority="7" operator="greaterThanOrEqual">
      <formula>0.25</formula>
    </cfRule>
    <cfRule type="cellIs" dxfId="40" priority="8" operator="between">
      <formula>0.15</formula>
      <formula>0.25</formula>
    </cfRule>
    <cfRule type="cellIs" dxfId="39" priority="9" operator="between">
      <formula>0.05</formula>
      <formula>0.15</formula>
    </cfRule>
    <cfRule type="cellIs" dxfId="38" priority="10" operator="between">
      <formula>-0.05</formula>
      <formula>0.05</formula>
    </cfRule>
    <cfRule type="cellIs" dxfId="37" priority="11" operator="between">
      <formula>-0.15</formula>
      <formula>-0.05</formula>
    </cfRule>
    <cfRule type="cellIs" dxfId="36" priority="12" operator="lessThanOrEqual">
      <formula>-0.15</formula>
    </cfRule>
  </conditionalFormatting>
  <conditionalFormatting sqref="V27">
    <cfRule type="cellIs" dxfId="35" priority="1" operator="greaterThanOrEqual">
      <formula>0.25</formula>
    </cfRule>
    <cfRule type="cellIs" dxfId="34" priority="2" operator="between">
      <formula>0.15</formula>
      <formula>0.25</formula>
    </cfRule>
    <cfRule type="cellIs" dxfId="33" priority="3" operator="between">
      <formula>0.05</formula>
      <formula>0.15</formula>
    </cfRule>
    <cfRule type="cellIs" dxfId="32" priority="4" operator="between">
      <formula>-0.05</formula>
      <formula>0.05</formula>
    </cfRule>
    <cfRule type="cellIs" dxfId="31" priority="5" operator="between">
      <formula>-0.15</formula>
      <formula>-0.05</formula>
    </cfRule>
    <cfRule type="cellIs" dxfId="30" priority="6" operator="lessThanOrEqual">
      <formula>-0.15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84D75-2327-4F47-9917-C9DFCBE0E7F6}">
  <dimension ref="B1:V28"/>
  <sheetViews>
    <sheetView tabSelected="1" workbookViewId="0">
      <selection activeCell="P28" sqref="P28"/>
    </sheetView>
  </sheetViews>
  <sheetFormatPr baseColWidth="10" defaultRowHeight="14.4" x14ac:dyDescent="0.3"/>
  <cols>
    <col min="1" max="1" width="1.6640625" customWidth="1"/>
    <col min="2" max="2" width="20.21875" customWidth="1"/>
    <col min="3" max="3" width="6.6640625" customWidth="1"/>
    <col min="4" max="4" width="7.77734375" customWidth="1"/>
    <col min="5" max="5" width="6.109375" customWidth="1"/>
    <col min="6" max="6" width="6.109375" style="2" customWidth="1"/>
    <col min="7" max="7" width="5.5546875" customWidth="1"/>
    <col min="8" max="8" width="20.21875" customWidth="1"/>
    <col min="9" max="9" width="6.6640625" customWidth="1"/>
    <col min="10" max="10" width="7.77734375" customWidth="1"/>
    <col min="11" max="11" width="6.109375" customWidth="1"/>
    <col min="12" max="12" width="6.109375" style="2" customWidth="1"/>
    <col min="13" max="13" width="5.5546875" customWidth="1"/>
    <col min="14" max="14" width="20.21875" customWidth="1"/>
    <col min="15" max="15" width="6.6640625" customWidth="1"/>
    <col min="16" max="16" width="7.77734375" customWidth="1"/>
    <col min="17" max="17" width="6.109375" customWidth="1"/>
    <col min="18" max="18" width="6.109375" style="2" customWidth="1"/>
    <col min="19" max="19" width="8.88671875" customWidth="1"/>
    <col min="20" max="20" width="7.33203125" bestFit="1" customWidth="1"/>
    <col min="21" max="21" width="7.109375" style="3" bestFit="1" customWidth="1"/>
    <col min="22" max="22" width="7.77734375" style="3" bestFit="1" customWidth="1"/>
  </cols>
  <sheetData>
    <row r="1" spans="2:22" ht="9.6" customHeight="1" x14ac:dyDescent="0.3">
      <c r="C1" s="1"/>
      <c r="D1" s="1"/>
      <c r="I1" s="1"/>
      <c r="J1" s="1"/>
      <c r="O1" s="1"/>
      <c r="P1" s="1"/>
    </row>
    <row r="2" spans="2:22" x14ac:dyDescent="0.3">
      <c r="B2" s="4" t="s">
        <v>0</v>
      </c>
      <c r="C2" s="1"/>
      <c r="D2" s="1"/>
      <c r="I2" s="1"/>
      <c r="J2" s="1"/>
      <c r="O2" s="1"/>
      <c r="Q2" s="21"/>
    </row>
    <row r="3" spans="2:22" x14ac:dyDescent="0.3">
      <c r="C3" s="1"/>
      <c r="D3" s="1"/>
      <c r="I3" s="1"/>
      <c r="O3" s="5"/>
      <c r="P3" s="1"/>
    </row>
    <row r="4" spans="2:22" x14ac:dyDescent="0.3">
      <c r="B4" s="2" t="s">
        <v>8</v>
      </c>
      <c r="C4" s="19">
        <f>F4*0.85</f>
        <v>2.361111111111111E-2</v>
      </c>
      <c r="D4">
        <f>6.65+230*0.01</f>
        <v>8.9500000000000011</v>
      </c>
      <c r="E4" s="15">
        <f>C4/D4</f>
        <v>2.6381129733085039E-3</v>
      </c>
      <c r="F4" s="7">
        <v>2.7777777777777776E-2</v>
      </c>
      <c r="H4" s="2" t="s">
        <v>11</v>
      </c>
      <c r="I4" s="19">
        <f>L4*0.85</f>
        <v>2.9513888888888888E-2</v>
      </c>
      <c r="J4">
        <f>7.3+260*0.01</f>
        <v>9.9</v>
      </c>
      <c r="K4" s="15">
        <f>I4/J4</f>
        <v>2.9812008978675644E-3</v>
      </c>
      <c r="L4" s="7">
        <v>3.4722222222222224E-2</v>
      </c>
      <c r="N4" s="2" t="s">
        <v>10</v>
      </c>
      <c r="O4" s="19">
        <f>R4*0.85</f>
        <v>1.7708333333333333E-2</v>
      </c>
      <c r="P4">
        <f>4.5+150*0.01</f>
        <v>6</v>
      </c>
      <c r="Q4" s="15">
        <f>O4/P4</f>
        <v>2.9513888888888888E-3</v>
      </c>
      <c r="R4" s="7">
        <v>2.0833333333333332E-2</v>
      </c>
      <c r="T4" s="2" t="s">
        <v>1</v>
      </c>
      <c r="V4" s="20">
        <v>0.20138888888888887</v>
      </c>
    </row>
    <row r="5" spans="2:22" x14ac:dyDescent="0.3">
      <c r="B5" t="s">
        <v>19</v>
      </c>
      <c r="C5" s="9">
        <v>2.673611111111111E-2</v>
      </c>
      <c r="D5" s="10">
        <f>(C5-C$4)/C$4</f>
        <v>0.13235294117647056</v>
      </c>
      <c r="E5" s="11">
        <f>C5/D$4</f>
        <v>2.9872749844816878E-3</v>
      </c>
      <c r="F5" s="12">
        <f>E5/$K$10</f>
        <v>1.1716103177061989</v>
      </c>
      <c r="H5" t="s">
        <v>110</v>
      </c>
      <c r="I5" s="9">
        <v>2.9861111111111113E-2</v>
      </c>
      <c r="J5" s="10">
        <f>(I5-I$4)/I$4</f>
        <v>1.1764705882353017E-2</v>
      </c>
      <c r="K5" s="11">
        <f>I5/J$4</f>
        <v>3.0162738496071831E-3</v>
      </c>
      <c r="L5" s="12">
        <f>K5/$K$10</f>
        <v>1.1829836829836831</v>
      </c>
      <c r="N5" t="s">
        <v>107</v>
      </c>
      <c r="O5" s="9">
        <v>1.5277777777777777E-2</v>
      </c>
      <c r="P5" s="10">
        <f>(O5-O$4)/O$4</f>
        <v>-0.13725490196078433</v>
      </c>
      <c r="Q5" s="11">
        <f>O5/P$4</f>
        <v>2.5462962962962961E-3</v>
      </c>
      <c r="R5" s="12">
        <f>Q5/$K$10</f>
        <v>0.99865831842576025</v>
      </c>
      <c r="T5" t="s">
        <v>44</v>
      </c>
      <c r="U5" s="3">
        <v>0.1821875</v>
      </c>
    </row>
    <row r="6" spans="2:22" x14ac:dyDescent="0.3">
      <c r="B6" t="s">
        <v>111</v>
      </c>
      <c r="C6" s="9">
        <v>2.6817129629629628E-2</v>
      </c>
      <c r="D6" s="10">
        <f t="shared" ref="D6:D7" si="0">(C6-C$4)/C$4</f>
        <v>0.13578431372549016</v>
      </c>
      <c r="E6" s="11">
        <f>C6/D$4</f>
        <v>2.996327332919511E-3</v>
      </c>
      <c r="F6" s="12">
        <f t="shared" ref="F6:F7" si="1">E6/$K$10</f>
        <v>1.1751606520022784</v>
      </c>
      <c r="H6" t="s">
        <v>21</v>
      </c>
      <c r="I6" s="9">
        <v>3.197916666666667E-2</v>
      </c>
      <c r="J6" s="10">
        <f t="shared" ref="J6" si="2">(I6-I$4)/I$4</f>
        <v>8.3529411764706005E-2</v>
      </c>
      <c r="K6" s="11">
        <f>I6/J$4</f>
        <v>3.2302188552188553E-3</v>
      </c>
      <c r="L6" s="12">
        <f t="shared" ref="L6" si="3">K6/$K$10</f>
        <v>1.2668929907302</v>
      </c>
      <c r="N6" t="s">
        <v>108</v>
      </c>
      <c r="O6" s="9">
        <v>1.6018518518518519E-2</v>
      </c>
      <c r="P6" s="10">
        <f t="shared" ref="P6:P7" si="4">(O6-O$4)/O$4</f>
        <v>-9.5424836601307156E-2</v>
      </c>
      <c r="Q6" s="11">
        <f>O6/P$4</f>
        <v>2.6697530864197533E-3</v>
      </c>
      <c r="R6" s="12">
        <f t="shared" ref="R6:R7" si="5">Q6/$K$10</f>
        <v>1.0470781156827669</v>
      </c>
      <c r="T6" t="s">
        <v>45</v>
      </c>
      <c r="U6" s="3">
        <v>0.18412037037037038</v>
      </c>
      <c r="V6" s="14">
        <f>AVERAGE(U5:U9)</f>
        <v>0.1890810185185185</v>
      </c>
    </row>
    <row r="7" spans="2:22" x14ac:dyDescent="0.3">
      <c r="B7" t="s">
        <v>112</v>
      </c>
      <c r="C7" s="9">
        <v>2.6944444444444444E-2</v>
      </c>
      <c r="D7" s="10">
        <f t="shared" si="0"/>
        <v>0.14117647058823532</v>
      </c>
      <c r="E7" s="11">
        <f>C7/D$4</f>
        <v>3.0105524518932339E-3</v>
      </c>
      <c r="F7" s="12">
        <f t="shared" si="1"/>
        <v>1.1807397487532605</v>
      </c>
      <c r="H7" t="s">
        <v>118</v>
      </c>
      <c r="I7" s="9">
        <v>3.2187500000000001E-2</v>
      </c>
      <c r="J7" s="10">
        <f t="shared" ref="J7" si="6">(I7-I$4)/I$4</f>
        <v>9.0588235294117705E-2</v>
      </c>
      <c r="K7" s="11">
        <f>I7/J$4</f>
        <v>3.2512626262626264E-3</v>
      </c>
      <c r="L7" s="12">
        <f t="shared" ref="L7" si="7">K7/$K$10</f>
        <v>1.2751463652626445</v>
      </c>
      <c r="N7" t="s">
        <v>109</v>
      </c>
      <c r="O7" s="9">
        <v>1.6423611111111111E-2</v>
      </c>
      <c r="P7" s="10">
        <f t="shared" si="4"/>
        <v>-7.2549019607843115E-2</v>
      </c>
      <c r="Q7" s="11">
        <f>O7/P$4</f>
        <v>2.7372685185185187E-3</v>
      </c>
      <c r="R7" s="12">
        <f t="shared" si="5"/>
        <v>1.0735576923076924</v>
      </c>
      <c r="T7" t="s">
        <v>4</v>
      </c>
      <c r="U7" s="3">
        <v>0.18519675925925927</v>
      </c>
      <c r="V7" s="3">
        <f>ABS(V6-V4)</f>
        <v>1.2307870370370372E-2</v>
      </c>
    </row>
    <row r="8" spans="2:22" x14ac:dyDescent="0.3">
      <c r="C8" s="1"/>
      <c r="D8" s="10"/>
      <c r="I8" s="1"/>
      <c r="J8" s="10"/>
      <c r="O8" s="1"/>
      <c r="P8" s="10"/>
      <c r="T8" t="s">
        <v>2</v>
      </c>
      <c r="U8" s="3">
        <v>0.1933449074074074</v>
      </c>
      <c r="V8" s="10">
        <f>(V6-V4)/V4</f>
        <v>-6.1114942528735644E-2</v>
      </c>
    </row>
    <row r="9" spans="2:22" x14ac:dyDescent="0.3">
      <c r="C9" s="1"/>
      <c r="D9" s="1"/>
      <c r="H9" s="2" t="s">
        <v>9</v>
      </c>
      <c r="I9" s="19">
        <f>L9*0.85</f>
        <v>2.9513888888888888E-2</v>
      </c>
      <c r="J9">
        <f>7.65+250*0.01</f>
        <v>10.15</v>
      </c>
      <c r="K9" s="15">
        <f>I9/J9</f>
        <v>2.9077723043240281E-3</v>
      </c>
      <c r="L9" s="7">
        <v>3.4722222222222224E-2</v>
      </c>
      <c r="O9" s="1"/>
      <c r="P9" s="10"/>
      <c r="T9" t="s">
        <v>7</v>
      </c>
      <c r="U9" s="3">
        <v>0.20055555555555554</v>
      </c>
    </row>
    <row r="10" spans="2:22" x14ac:dyDescent="0.3">
      <c r="B10" s="2"/>
      <c r="C10" s="6"/>
      <c r="D10" s="7"/>
      <c r="H10" t="s">
        <v>59</v>
      </c>
      <c r="I10" s="9">
        <v>2.5879629629629631E-2</v>
      </c>
      <c r="J10" s="10">
        <f>(I10-I$9)/I$9</f>
        <v>-0.12313725490196072</v>
      </c>
      <c r="K10" s="11">
        <f>I10/J$9</f>
        <v>2.5497172048896187E-3</v>
      </c>
      <c r="L10" s="17">
        <f>K10/$K$10</f>
        <v>1</v>
      </c>
      <c r="O10" s="1"/>
      <c r="P10" s="10"/>
      <c r="U10"/>
      <c r="V10"/>
    </row>
    <row r="11" spans="2:22" x14ac:dyDescent="0.3">
      <c r="C11" s="9"/>
      <c r="D11" s="7"/>
      <c r="E11" s="11"/>
      <c r="F11" s="12"/>
      <c r="H11" t="s">
        <v>80</v>
      </c>
      <c r="I11" s="9">
        <v>2.6712962962962963E-2</v>
      </c>
      <c r="J11" s="10">
        <f t="shared" ref="J11:J12" si="8">(I11-I$9)/I$9</f>
        <v>-9.4901960784313719E-2</v>
      </c>
      <c r="K11" s="11">
        <f>I11/J$9</f>
        <v>2.6318190111293558E-3</v>
      </c>
      <c r="L11" s="12">
        <f>K11/$K$10</f>
        <v>1.0322003577817531</v>
      </c>
      <c r="O11" s="1"/>
      <c r="P11" s="10"/>
      <c r="U11"/>
      <c r="V11"/>
    </row>
    <row r="12" spans="2:22" x14ac:dyDescent="0.3">
      <c r="C12" s="9"/>
      <c r="D12" s="7"/>
      <c r="E12" s="11"/>
      <c r="F12" s="12"/>
      <c r="H12" t="s">
        <v>81</v>
      </c>
      <c r="I12" s="9">
        <v>2.7013888888888889E-2</v>
      </c>
      <c r="J12" s="10">
        <f t="shared" si="8"/>
        <v>-8.4705882352941131E-2</v>
      </c>
      <c r="K12" s="11">
        <f>I12/J$9</f>
        <v>2.6614668856048164E-3</v>
      </c>
      <c r="L12" s="12">
        <f t="shared" ref="L12" si="9">K12/$K$10</f>
        <v>1.0438282647584973</v>
      </c>
      <c r="O12" s="1"/>
      <c r="P12" s="10"/>
      <c r="U12"/>
      <c r="V12"/>
    </row>
    <row r="13" spans="2:22" x14ac:dyDescent="0.3">
      <c r="C13" s="9"/>
      <c r="D13" s="7"/>
      <c r="E13" s="11"/>
      <c r="F13" s="12"/>
      <c r="I13" s="9"/>
      <c r="K13" s="11"/>
      <c r="L13" s="12"/>
      <c r="O13" s="1"/>
      <c r="P13" s="10"/>
      <c r="U13"/>
      <c r="V13"/>
    </row>
    <row r="14" spans="2:22" x14ac:dyDescent="0.3">
      <c r="C14" s="1"/>
      <c r="D14" s="10"/>
      <c r="I14" s="9"/>
      <c r="J14" s="10"/>
      <c r="O14" s="1"/>
      <c r="P14" s="10"/>
      <c r="U14"/>
      <c r="V14"/>
    </row>
    <row r="15" spans="2:22" x14ac:dyDescent="0.3">
      <c r="C15" s="1"/>
      <c r="I15" s="1"/>
      <c r="O15" s="1"/>
      <c r="T15" s="2" t="s">
        <v>1</v>
      </c>
      <c r="V15" s="20">
        <v>0.11805555555555557</v>
      </c>
    </row>
    <row r="16" spans="2:22" x14ac:dyDescent="0.3">
      <c r="B16" s="2" t="s">
        <v>12</v>
      </c>
      <c r="C16" s="19">
        <f>F16*0.85</f>
        <v>1.7708333333333333E-2</v>
      </c>
      <c r="D16">
        <f>4.6+110*0.01</f>
        <v>5.6999999999999993</v>
      </c>
      <c r="E16" s="15">
        <f>C16/D16</f>
        <v>3.1067251461988307E-3</v>
      </c>
      <c r="F16" s="7">
        <v>2.0833333333333332E-2</v>
      </c>
      <c r="H16" s="2" t="s">
        <v>13</v>
      </c>
      <c r="I16" s="19">
        <f>L16*0.85</f>
        <v>2.361111111111111E-2</v>
      </c>
      <c r="J16">
        <f>5.5+150*0.01</f>
        <v>7</v>
      </c>
      <c r="K16" s="15">
        <f>I16/J16</f>
        <v>3.3730158730158727E-3</v>
      </c>
      <c r="L16" s="7">
        <v>2.7777777777777776E-2</v>
      </c>
      <c r="N16" s="8" t="s">
        <v>14</v>
      </c>
      <c r="O16" s="19">
        <f>R16*0.85</f>
        <v>1.7708333333333333E-2</v>
      </c>
      <c r="P16">
        <f>4.6+110*0.01</f>
        <v>5.6999999999999993</v>
      </c>
      <c r="Q16" s="15">
        <f>O16/P16</f>
        <v>3.1067251461988307E-3</v>
      </c>
      <c r="R16" s="7">
        <v>2.0833333333333332E-2</v>
      </c>
      <c r="T16" t="s">
        <v>2</v>
      </c>
      <c r="U16" s="3">
        <v>0.11215277777777778</v>
      </c>
    </row>
    <row r="17" spans="2:22" x14ac:dyDescent="0.3">
      <c r="B17" t="s">
        <v>101</v>
      </c>
      <c r="C17" s="9">
        <v>1.9293981481481481E-2</v>
      </c>
      <c r="D17" s="10">
        <f>(C17-C$16)/C$16</f>
        <v>8.9542483660130748E-2</v>
      </c>
      <c r="E17" s="11">
        <f>C17/D$16</f>
        <v>3.3849090318388568E-3</v>
      </c>
      <c r="F17" s="12">
        <f>E17/$K$10</f>
        <v>1.3275625333458871</v>
      </c>
      <c r="H17" t="s">
        <v>32</v>
      </c>
      <c r="I17" s="9">
        <v>2.0787037037037038E-2</v>
      </c>
      <c r="J17" s="10">
        <f>(I17-I$16)/I$16</f>
        <v>-0.11960784313725484</v>
      </c>
      <c r="K17" s="11">
        <f>I17/J$16</f>
        <v>2.9695767195767196E-3</v>
      </c>
      <c r="L17" s="12">
        <f>K17/$K$10</f>
        <v>1.1646690518783542</v>
      </c>
      <c r="N17" t="s">
        <v>63</v>
      </c>
      <c r="O17" s="9">
        <v>1.8715277777777779E-2</v>
      </c>
      <c r="P17" s="10">
        <f>(O17-O$16)/O$16</f>
        <v>5.6862745098039291E-2</v>
      </c>
      <c r="Q17" s="11">
        <f>O17/P$16</f>
        <v>3.2833820662768035E-3</v>
      </c>
      <c r="R17" s="12">
        <f>Q17/$K$10</f>
        <v>1.2877436211279543</v>
      </c>
      <c r="T17" t="s">
        <v>44</v>
      </c>
      <c r="U17" s="3">
        <v>0.11387731481481482</v>
      </c>
      <c r="V17" s="14">
        <f>AVERAGE(U16:U20)</f>
        <v>0.1183125</v>
      </c>
    </row>
    <row r="18" spans="2:22" x14ac:dyDescent="0.3">
      <c r="B18" t="s">
        <v>103</v>
      </c>
      <c r="C18" s="9">
        <v>1.9641203703703702E-2</v>
      </c>
      <c r="D18" s="10">
        <f t="shared" ref="D18:D19" si="10">(C18-C$16)/C$16</f>
        <v>0.10915032679738558</v>
      </c>
      <c r="E18" s="11">
        <f>C18/D$16</f>
        <v>3.4458252111760884E-3</v>
      </c>
      <c r="F18" s="12">
        <f t="shared" ref="F18:F19" si="11">E18/$K$10</f>
        <v>1.351453880676647</v>
      </c>
      <c r="H18" t="s">
        <v>105</v>
      </c>
      <c r="I18" s="9">
        <v>2.2013888888888888E-2</v>
      </c>
      <c r="J18" s="10">
        <f t="shared" ref="J18:J19" si="12">(I18-I$16)/I$16</f>
        <v>-6.7647058823529407E-2</v>
      </c>
      <c r="K18" s="11">
        <f>I18/J$16</f>
        <v>3.1448412698412698E-3</v>
      </c>
      <c r="L18" s="12">
        <f t="shared" ref="L18:L19" si="13">K18/$K$10</f>
        <v>1.2334078711985688</v>
      </c>
      <c r="N18" t="s">
        <v>92</v>
      </c>
      <c r="O18" s="9">
        <v>2.013888888888889E-2</v>
      </c>
      <c r="P18" s="10">
        <f t="shared" ref="P18:P19" si="14">(O18-O$16)/O$16</f>
        <v>0.13725490196078441</v>
      </c>
      <c r="Q18" s="11">
        <f>O18/P$16</f>
        <v>3.5331384015594549E-3</v>
      </c>
      <c r="R18" s="12">
        <f t="shared" ref="R18:R19" si="15">Q18/$K$10</f>
        <v>1.3856981451840695</v>
      </c>
      <c r="T18" t="s">
        <v>45</v>
      </c>
      <c r="U18" s="3">
        <v>0.12021990740740741</v>
      </c>
      <c r="V18" s="3">
        <f>ABS(V17-V15)</f>
        <v>2.5694444444443465E-4</v>
      </c>
    </row>
    <row r="19" spans="2:22" x14ac:dyDescent="0.3">
      <c r="B19" t="s">
        <v>102</v>
      </c>
      <c r="C19" s="9">
        <v>2.0092592592592592E-2</v>
      </c>
      <c r="D19" s="10">
        <f t="shared" si="10"/>
        <v>0.13464052287581701</v>
      </c>
      <c r="E19" s="11">
        <f>C19/D$16</f>
        <v>3.5250162443144903E-3</v>
      </c>
      <c r="F19" s="12">
        <f t="shared" si="11"/>
        <v>1.3825126322066348</v>
      </c>
      <c r="H19" t="s">
        <v>104</v>
      </c>
      <c r="I19" s="9">
        <v>2.2743055555555555E-2</v>
      </c>
      <c r="J19" s="10">
        <f t="shared" si="12"/>
        <v>-3.6764705882352956E-2</v>
      </c>
      <c r="K19" s="11">
        <f>I19/J$16</f>
        <v>3.2490079365079362E-3</v>
      </c>
      <c r="L19" s="12">
        <f t="shared" si="13"/>
        <v>1.274262075134168</v>
      </c>
      <c r="N19" t="s">
        <v>62</v>
      </c>
      <c r="O19" s="9">
        <v>2.0335648148148148E-2</v>
      </c>
      <c r="P19" s="10">
        <f t="shared" si="14"/>
        <v>0.14836601307189543</v>
      </c>
      <c r="Q19" s="11">
        <f>O19/P$16</f>
        <v>3.5676575698505527E-3</v>
      </c>
      <c r="R19" s="12">
        <f t="shared" si="15"/>
        <v>1.3992365753381666</v>
      </c>
      <c r="T19" t="s">
        <v>7</v>
      </c>
      <c r="U19" s="3">
        <v>0.12246527777777778</v>
      </c>
      <c r="V19" s="10">
        <f>(V17-V15)/V15</f>
        <v>2.1764705882352108E-3</v>
      </c>
    </row>
    <row r="20" spans="2:22" x14ac:dyDescent="0.3">
      <c r="C20" s="1"/>
      <c r="D20" s="10"/>
      <c r="I20" s="1"/>
      <c r="J20" s="10"/>
      <c r="O20" s="1"/>
      <c r="P20" s="10"/>
      <c r="T20" t="s">
        <v>106</v>
      </c>
      <c r="U20" s="3">
        <v>0.12284722222222222</v>
      </c>
    </row>
    <row r="21" spans="2:22" x14ac:dyDescent="0.3">
      <c r="C21" s="1"/>
      <c r="D21" s="1"/>
      <c r="I21" s="1"/>
      <c r="J21" s="1"/>
      <c r="O21" s="1"/>
      <c r="P21" s="1"/>
    </row>
    <row r="22" spans="2:22" x14ac:dyDescent="0.3">
      <c r="C22" s="1"/>
      <c r="I22" s="1"/>
      <c r="J22" s="1"/>
      <c r="O22" s="1"/>
      <c r="P22" s="1"/>
    </row>
    <row r="23" spans="2:22" x14ac:dyDescent="0.3">
      <c r="B23" s="2" t="s">
        <v>15</v>
      </c>
      <c r="C23" s="19">
        <f>F23*0.85</f>
        <v>1.7708333333333333E-2</v>
      </c>
      <c r="D23">
        <f>4.6+110*0.01</f>
        <v>5.6999999999999993</v>
      </c>
      <c r="E23" s="15">
        <f>C23/D23</f>
        <v>3.1067251461988307E-3</v>
      </c>
      <c r="F23" s="7">
        <v>2.0833333333333332E-2</v>
      </c>
      <c r="H23" s="2" t="s">
        <v>16</v>
      </c>
      <c r="I23" s="19">
        <f>L23*0.85</f>
        <v>1.7708333333333333E-2</v>
      </c>
      <c r="J23">
        <f>3.8+100*0.01</f>
        <v>4.8</v>
      </c>
      <c r="K23" s="15">
        <f>I23/J23</f>
        <v>3.689236111111111E-3</v>
      </c>
      <c r="L23" s="7">
        <v>2.0833333333333332E-2</v>
      </c>
      <c r="O23" s="1"/>
      <c r="P23" s="1"/>
      <c r="T23" s="2" t="s">
        <v>1</v>
      </c>
      <c r="V23" s="20">
        <v>8.3333333333333329E-2</v>
      </c>
    </row>
    <row r="24" spans="2:22" x14ac:dyDescent="0.3">
      <c r="B24" t="s">
        <v>94</v>
      </c>
      <c r="C24" s="9">
        <v>1.6689814814814814E-2</v>
      </c>
      <c r="D24" s="10">
        <f>(C24-C$23)/C$23</f>
        <v>-5.7516339869281091E-2</v>
      </c>
      <c r="E24" s="11">
        <f>C24/D$23</f>
        <v>2.9280376868096166E-3</v>
      </c>
      <c r="F24" s="12">
        <f>E24/$K$10</f>
        <v>1.1483774283651884</v>
      </c>
      <c r="H24" t="s">
        <v>117</v>
      </c>
      <c r="I24" s="9">
        <v>1.5578703703703704E-2</v>
      </c>
      <c r="J24" s="10">
        <f>(I24-I$23)/I$23</f>
        <v>-0.12026143790849669</v>
      </c>
      <c r="K24" s="11">
        <f>I24/J$23</f>
        <v>3.2455632716049385E-3</v>
      </c>
      <c r="L24" s="12">
        <f>K24/$K$10</f>
        <v>1.2729110763267741</v>
      </c>
      <c r="O24" s="1"/>
      <c r="P24" s="1"/>
      <c r="T24" t="s">
        <v>106</v>
      </c>
      <c r="U24" s="3">
        <v>7.0208333333333331E-2</v>
      </c>
    </row>
    <row r="25" spans="2:22" x14ac:dyDescent="0.3">
      <c r="B25" t="s">
        <v>116</v>
      </c>
      <c r="C25" s="9">
        <v>1.6701388888888891E-2</v>
      </c>
      <c r="D25" s="10">
        <f t="shared" ref="D25:D26" si="16">(C25-C$23)/C$23</f>
        <v>-5.6862745098039097E-2</v>
      </c>
      <c r="E25" s="11">
        <f>C25/D$23</f>
        <v>2.9300682261208582E-3</v>
      </c>
      <c r="F25" s="12">
        <f t="shared" ref="F25:F26" si="17">E25/$K$10</f>
        <v>1.1491738066095474</v>
      </c>
      <c r="H25" t="s">
        <v>119</v>
      </c>
      <c r="I25" s="9">
        <v>1.6666666666666666E-2</v>
      </c>
      <c r="J25" s="10">
        <f t="shared" ref="J25:J26" si="18">(I25-I$23)/I$23</f>
        <v>-5.8823529411764691E-2</v>
      </c>
      <c r="K25" s="11">
        <f t="shared" ref="K25:K26" si="19">I25/J$23</f>
        <v>3.4722222222222225E-3</v>
      </c>
      <c r="L25" s="12">
        <f t="shared" ref="L25:L26" si="20">K25/$K$10</f>
        <v>1.3618067978533095</v>
      </c>
      <c r="O25" s="1"/>
      <c r="P25" s="1"/>
      <c r="T25" t="s">
        <v>113</v>
      </c>
      <c r="U25" s="3">
        <v>7.3414351851851856E-2</v>
      </c>
      <c r="V25" s="14">
        <f>AVERAGE(U24:U28)</f>
        <v>7.5201388888888887E-2</v>
      </c>
    </row>
    <row r="26" spans="2:22" x14ac:dyDescent="0.3">
      <c r="B26" t="s">
        <v>115</v>
      </c>
      <c r="C26" s="9">
        <v>1.6875000000000001E-2</v>
      </c>
      <c r="D26" s="10">
        <f t="shared" si="16"/>
        <v>-4.7058823529411674E-2</v>
      </c>
      <c r="E26" s="11">
        <f>C26/D$23</f>
        <v>2.9605263157894742E-3</v>
      </c>
      <c r="F26" s="12">
        <f t="shared" si="17"/>
        <v>1.1611194802749272</v>
      </c>
      <c r="H26" t="s">
        <v>120</v>
      </c>
      <c r="I26" s="9">
        <v>1.6909722222222222E-2</v>
      </c>
      <c r="J26" s="10">
        <f t="shared" si="18"/>
        <v>-4.5098039215686274E-2</v>
      </c>
      <c r="K26" s="11">
        <f t="shared" si="19"/>
        <v>3.5228587962962965E-3</v>
      </c>
      <c r="L26" s="12">
        <f t="shared" si="20"/>
        <v>1.3816664803220036</v>
      </c>
      <c r="O26" s="1"/>
      <c r="P26" s="1"/>
      <c r="T26" t="s">
        <v>3</v>
      </c>
      <c r="U26" s="3">
        <v>7.3483796296296297E-2</v>
      </c>
      <c r="V26" s="3">
        <f>ABS(V25-V23)</f>
        <v>8.1319444444444416E-3</v>
      </c>
    </row>
    <row r="27" spans="2:22" x14ac:dyDescent="0.3">
      <c r="T27" t="s">
        <v>45</v>
      </c>
      <c r="U27" s="3">
        <v>7.8912037037037031E-2</v>
      </c>
      <c r="V27" s="10">
        <f>(V25-V23)/V23</f>
        <v>-9.75833333333333E-2</v>
      </c>
    </row>
    <row r="28" spans="2:22" x14ac:dyDescent="0.3">
      <c r="T28" t="s">
        <v>114</v>
      </c>
      <c r="U28" s="3">
        <v>7.9988425925925921E-2</v>
      </c>
    </row>
  </sheetData>
  <sortState xmlns:xlrd2="http://schemas.microsoft.com/office/spreadsheetml/2017/richdata2" ref="B25:C26">
    <sortCondition ref="B25:B26"/>
  </sortState>
  <conditionalFormatting sqref="D5:D7 P5:P7 J10:J12 D17:D19 J17:J19 P17:P19 D24:D26 J5:J7 J24:J26">
    <cfRule type="cellIs" dxfId="29" priority="25" operator="greaterThanOrEqual">
      <formula>0.25</formula>
    </cfRule>
    <cfRule type="cellIs" dxfId="28" priority="26" operator="between">
      <formula>0.15</formula>
      <formula>0.25</formula>
    </cfRule>
    <cfRule type="cellIs" dxfId="27" priority="27" operator="between">
      <formula>0.05</formula>
      <formula>0.15</formula>
    </cfRule>
    <cfRule type="cellIs" dxfId="26" priority="28" operator="between">
      <formula>-0.05</formula>
      <formula>0.05</formula>
    </cfRule>
    <cfRule type="cellIs" dxfId="25" priority="29" operator="between">
      <formula>-0.15</formula>
      <formula>-0.05</formula>
    </cfRule>
    <cfRule type="cellIs" dxfId="24" priority="30" operator="lessThanOrEqual">
      <formula>-0.15</formula>
    </cfRule>
  </conditionalFormatting>
  <conditionalFormatting sqref="V8">
    <cfRule type="cellIs" dxfId="23" priority="19" operator="greaterThanOrEqual">
      <formula>0.25</formula>
    </cfRule>
    <cfRule type="cellIs" dxfId="22" priority="20" operator="between">
      <formula>0.15</formula>
      <formula>0.25</formula>
    </cfRule>
    <cfRule type="cellIs" dxfId="21" priority="21" operator="between">
      <formula>0.05</formula>
      <formula>0.15</formula>
    </cfRule>
    <cfRule type="cellIs" dxfId="20" priority="22" operator="between">
      <formula>-0.05</formula>
      <formula>0.05</formula>
    </cfRule>
    <cfRule type="cellIs" dxfId="19" priority="23" operator="between">
      <formula>-0.15</formula>
      <formula>-0.05</formula>
    </cfRule>
    <cfRule type="cellIs" dxfId="18" priority="24" operator="lessThanOrEqual">
      <formula>-0.15</formula>
    </cfRule>
  </conditionalFormatting>
  <conditionalFormatting sqref="V19">
    <cfRule type="cellIs" dxfId="17" priority="13" operator="greaterThanOrEqual">
      <formula>0.25</formula>
    </cfRule>
    <cfRule type="cellIs" dxfId="16" priority="14" operator="between">
      <formula>0.15</formula>
      <formula>0.25</formula>
    </cfRule>
    <cfRule type="cellIs" dxfId="15" priority="15" operator="between">
      <formula>0.05</formula>
      <formula>0.15</formula>
    </cfRule>
    <cfRule type="cellIs" dxfId="14" priority="16" operator="between">
      <formula>-0.05</formula>
      <formula>0.05</formula>
    </cfRule>
    <cfRule type="cellIs" dxfId="13" priority="17" operator="between">
      <formula>-0.15</formula>
      <formula>-0.05</formula>
    </cfRule>
    <cfRule type="cellIs" dxfId="12" priority="18" operator="lessThanOrEqual">
      <formula>-0.15</formula>
    </cfRule>
  </conditionalFormatting>
  <conditionalFormatting sqref="V27">
    <cfRule type="cellIs" dxfId="11" priority="7" operator="greaterThanOrEqual">
      <formula>0.25</formula>
    </cfRule>
    <cfRule type="cellIs" dxfId="10" priority="8" operator="between">
      <formula>0.15</formula>
      <formula>0.25</formula>
    </cfRule>
    <cfRule type="cellIs" dxfId="9" priority="9" operator="between">
      <formula>0.05</formula>
      <formula>0.15</formula>
    </cfRule>
    <cfRule type="cellIs" dxfId="8" priority="10" operator="between">
      <formula>-0.05</formula>
      <formula>0.05</formula>
    </cfRule>
    <cfRule type="cellIs" dxfId="7" priority="11" operator="between">
      <formula>-0.15</formula>
      <formula>-0.05</formula>
    </cfRule>
    <cfRule type="cellIs" dxfId="6" priority="12" operator="lessThanOrEqual">
      <formula>-0.15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C44F2893915E4E8B2CB00DFD53C116" ma:contentTypeVersion="17" ma:contentTypeDescription="Crée un document." ma:contentTypeScope="" ma:versionID="d735b5ca44dcb8160fb1d132c4979331">
  <xsd:schema xmlns:xsd="http://www.w3.org/2001/XMLSchema" xmlns:xs="http://www.w3.org/2001/XMLSchema" xmlns:p="http://schemas.microsoft.com/office/2006/metadata/properties" xmlns:ns2="9cdef0c5-5c1e-498f-9228-a13c912581f4" xmlns:ns3="e1df0c2b-5edf-4441-baed-c13379e0e239" targetNamespace="http://schemas.microsoft.com/office/2006/metadata/properties" ma:root="true" ma:fieldsID="73811fec1f22a812471fd802e4496bdd" ns2:_="" ns3:_="">
    <xsd:import namespace="9cdef0c5-5c1e-498f-9228-a13c912581f4"/>
    <xsd:import namespace="e1df0c2b-5edf-4441-baed-c13379e0e2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Remarque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def0c5-5c1e-498f-9228-a13c912581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3af7b03d-4e69-4f8d-bf76-10788d5738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Remarques" ma:index="21" nillable="true" ma:displayName="Remarques" ma:format="Dropdown" ma:internalName="Remarques">
      <xsd:simpleType>
        <xsd:restriction base="dms:Text">
          <xsd:maxLength value="255"/>
        </xsd:restriction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df0c2b-5edf-4441-baed-c13379e0e23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6676d93-3e87-4844-b509-1e24984bdc89}" ma:internalName="TaxCatchAll" ma:showField="CatchAllData" ma:web="e1df0c2b-5edf-4441-baed-c13379e0e2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cdef0c5-5c1e-498f-9228-a13c912581f4">
      <Terms xmlns="http://schemas.microsoft.com/office/infopath/2007/PartnerControls"/>
    </lcf76f155ced4ddcb4097134ff3c332f>
    <Remarques xmlns="9cdef0c5-5c1e-498f-9228-a13c912581f4" xsi:nil="true"/>
    <TaxCatchAll xmlns="e1df0c2b-5edf-4441-baed-c13379e0e239" xsi:nil="true"/>
  </documentManagement>
</p:properties>
</file>

<file path=customXml/itemProps1.xml><?xml version="1.0" encoding="utf-8"?>
<ds:datastoreItem xmlns:ds="http://schemas.openxmlformats.org/officeDocument/2006/customXml" ds:itemID="{76576D9E-9FB1-4D33-87B2-CC4963DFB336}"/>
</file>

<file path=customXml/itemProps2.xml><?xml version="1.0" encoding="utf-8"?>
<ds:datastoreItem xmlns:ds="http://schemas.openxmlformats.org/officeDocument/2006/customXml" ds:itemID="{F64B12B5-6570-483F-87D5-62FA17323DF8}"/>
</file>

<file path=customXml/itemProps3.xml><?xml version="1.0" encoding="utf-8"?>
<ds:datastoreItem xmlns:ds="http://schemas.openxmlformats.org/officeDocument/2006/customXml" ds:itemID="{DDC62BAB-DD7A-41DE-B384-CE0D397923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(vierge)</vt:lpstr>
      <vt:lpstr>2022</vt:lpstr>
      <vt:lpstr>2023</vt:lpstr>
      <vt:lpstr>2024</vt:lpstr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Charly</dc:creator>
  <cp:lastModifiedBy>Charly BOICHUT</cp:lastModifiedBy>
  <dcterms:created xsi:type="dcterms:W3CDTF">2015-06-05T18:19:34Z</dcterms:created>
  <dcterms:modified xsi:type="dcterms:W3CDTF">2025-11-05T09:00:48Z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0x01010092C44F2893915E4E8B2CB00DFD53C116</vt:lpwstr>
  </property>
</Properties>
</file>